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5" windowWidth="21000" windowHeight="12510" activeTab="0"/>
  </bookViews>
  <sheets>
    <sheet name="CIPW norm calculation" sheetId="1" r:id="rId1"/>
  </sheets>
  <definedNames>
    <definedName name="_xlnm.Print_Area" localSheetId="0">'CIPW norm calculation'!$A$1:$M$51</definedName>
  </definedNames>
  <calcPr fullCalcOnLoad="1"/>
</workbook>
</file>

<file path=xl/comments1.xml><?xml version="1.0" encoding="utf-8"?>
<comments xmlns="http://schemas.openxmlformats.org/spreadsheetml/2006/main">
  <authors>
    <author>A satisfied Microsoft Office user</author>
    <author> </author>
  </authors>
  <commentList>
    <comment ref="M1" authorId="0">
      <text>
        <r>
          <rPr>
            <sz val="8"/>
            <rFont val="Tahoma"/>
            <family val="2"/>
          </rPr>
          <t>Enter your data in the PALE YELLOW areas.  Results are shown in the PALE BLUE areas.
Norms (from normalize) are simply ways to recalculate chemical analyses of rocks in order to make some comparisons easier than, or at least different from, comparisons of the chemical analyses directly.                The norm program here produces a modification of the standard CIPW weight norm that is most commonly used in geology.
Type in the chemical analysis of your rock under the heading "Rock Analysis".  If you wish, select one of the two options under "Correction Factors".  The "Corrected Analysis" column is derived from the "Rock Analysis" column but includes the changes you requested under "Correction Factors".  The norms are calculated and listed under the headings "Weight % Norm" and "Volume % Norm", next to the list of "Normative Minerals".  Weight norms are the most commonly used.  Note that the norm columns may extend beyond the bottom of the screen, so be sure to scroll down to see the rest of the norm and other calculated values.  Many cells have red markers that indicate an explanation for that cell.  Just put the cursor on the cell and the comments should appear.
General source for the norm calculation: Johannsen, A., 1931, A Descriptive Petrography of the Igneous Rocks, Volume 1 (p. 88-92).  University of Chicago Press, Chicago, 267 p.
This norm has been modified to group all plagioclase components together, and to combine the normative En, Fs, and Wo components into the diopside and orthopyroxene components.  SO3 apportionment has been modified to include anhydrite if there is insufficient Na2O to make thenardite.  Cr2O3 apportionment has been modified to include the magnesiochromite component if there is insufficient FeO to produce iron chromite.</t>
        </r>
      </text>
    </comment>
    <comment ref="B5" authorId="0">
      <text>
        <r>
          <rPr>
            <sz val="8"/>
            <rFont val="Tahoma"/>
            <family val="2"/>
          </rPr>
          <t>Type in the rock chemical composition here.  Different elements should be entered in their oxide weight percents, or in elemenal parts per million.  These measures correspond to the way these elements are usually given in a common chemical analysis.</t>
        </r>
      </text>
    </comment>
    <comment ref="E5" authorId="0">
      <text>
        <r>
          <rPr>
            <sz val="8"/>
            <rFont val="Tahoma"/>
            <family val="2"/>
          </rPr>
          <t>The chemical analysis can be recalculated to 100% before calculating the norm.  In addition, you can set the ratio of Fe3+/(Fe3++Fe2+) to a constant ratio.</t>
        </r>
      </text>
    </comment>
    <comment ref="H5" authorId="0">
      <text>
        <r>
          <rPr>
            <sz val="8"/>
            <rFont val="Tahoma"/>
            <family val="2"/>
          </rPr>
          <t>These values have been corrected as follows:  1) If you selected it, the values have been recalculated to total 100%.  Remember that because of rounding error the total may not be exactly 100%.  2) If you selected it, the iron oxides have been changed to equal a constant proportion that you chose.  In this case the total should be the same as the Rock Analysis total, except for rounding error.  Remember that, because of the recalculation, the oxide values will not be exactly the same as in the Rock Analysis.  3) If your analysis included trace elements, these elements have been recalculated from ppm of the elements to weight % of the oxides (e.g., 500 ppm Zr now equals 0.07 % ZrO2.</t>
        </r>
      </text>
    </comment>
    <comment ref="J5" authorId="0">
      <text>
        <r>
          <rPr>
            <sz val="8"/>
            <rFont val="Tahoma"/>
            <family val="2"/>
          </rPr>
          <t>These are the various normative components (minerals) that the norm program calculates.  They are picked to be, in a certain sense, similar to the minerals you might find in an igneous rock slowly cooled at low pressure under dry conditions.  In a more practical sense, they are standard components which can be used to compare one rock with another in the same way that chemical analyses can be compared.  Don't get the idea that you will actually find all these phases in your rocks.</t>
        </r>
      </text>
    </comment>
    <comment ref="K5" authorId="0">
      <text>
        <r>
          <rPr>
            <sz val="8"/>
            <rFont val="Tahoma"/>
            <family val="2"/>
          </rPr>
          <t>The weight norm is the standard norm that almost everybody uses.  The normative components (minerals) are calculated in terms of their weight percent.  This type of norm can not be compared with thin section point count modes.</t>
        </r>
      </text>
    </comment>
    <comment ref="M5" authorId="0">
      <text>
        <r>
          <rPr>
            <sz val="8"/>
            <rFont val="Tahoma"/>
            <family val="2"/>
          </rPr>
          <t>The volume norm is not usually reported in the literature.  In a volume norm the normative components (minerals) are calculated in terms of their volume % in the normative rock, rather than weight %.  This type of norm can be compared, in some respects, to thin section point count modes.  Just remember that the normative components are pure, whereas real minerals are solid solutions.  For example the normative plagioclase and orthoclase could actually be a single mesoperthite or sanidine in a real rock.</t>
        </r>
      </text>
    </comment>
    <comment ref="AM5" authorId="0">
      <text>
        <r>
          <rPr>
            <sz val="8"/>
            <rFont val="Tahoma"/>
            <family val="2"/>
          </rPr>
          <t>Quartz</t>
        </r>
      </text>
    </comment>
    <comment ref="AN5" authorId="0">
      <text>
        <r>
          <rPr>
            <sz val="8"/>
            <rFont val="Tahoma"/>
            <family val="2"/>
          </rPr>
          <t>Silica remaining after removing olivine from hypersthene.</t>
        </r>
      </text>
    </comment>
    <comment ref="AO5" authorId="0">
      <text>
        <r>
          <rPr>
            <sz val="8"/>
            <rFont val="Tahoma"/>
            <family val="2"/>
          </rPr>
          <t>Silica after removing perovskite from sphene</t>
        </r>
      </text>
    </comment>
    <comment ref="AP5" authorId="0">
      <text>
        <r>
          <rPr>
            <sz val="8"/>
            <rFont val="Tahoma"/>
            <family val="2"/>
          </rPr>
          <t>Silica after removing nepheline from albite.</t>
        </r>
      </text>
    </comment>
    <comment ref="AQ5" authorId="0">
      <text>
        <r>
          <rPr>
            <sz val="8"/>
            <rFont val="Tahoma"/>
            <family val="2"/>
          </rPr>
          <t>Silica after removing leucite from orthoclase.</t>
        </r>
      </text>
    </comment>
    <comment ref="AR5" authorId="0">
      <text>
        <r>
          <rPr>
            <sz val="8"/>
            <rFont val="Tahoma"/>
            <family val="2"/>
          </rPr>
          <t>Silica after removing wollastonite to form larnite.</t>
        </r>
      </text>
    </comment>
    <comment ref="AS5" authorId="0">
      <text>
        <r>
          <rPr>
            <sz val="8"/>
            <rFont val="Tahoma"/>
            <family val="2"/>
          </rPr>
          <t>Silica after removing diopside to form larnite and more olivine.</t>
        </r>
      </text>
    </comment>
    <comment ref="AT5" authorId="0">
      <text>
        <r>
          <rPr>
            <sz val="8"/>
            <rFont val="Tahoma"/>
            <family val="2"/>
          </rPr>
          <t>Silica after removal of kalsilite from leucite</t>
        </r>
      </text>
    </comment>
    <comment ref="E6" authorId="0">
      <text>
        <r>
          <rPr>
            <sz val="8"/>
            <rFont val="Tahoma"/>
            <family val="2"/>
          </rPr>
          <t>If you want the calculated norm to be normalized to 100%, type a "Y" in this space.  If you want the norm calculated to the same weight total as the analysis you typed in, type a "N" in this space.</t>
        </r>
      </text>
    </comment>
    <comment ref="F6" authorId="0">
      <text>
        <r>
          <rPr>
            <sz val="8"/>
            <rFont val="Tahoma"/>
            <family val="2"/>
          </rPr>
          <t>Enter a "Y" or an "N".  See help in the space to the left for an explanation.</t>
        </r>
      </text>
    </comment>
    <comment ref="Z6" authorId="0">
      <text>
        <r>
          <rPr>
            <sz val="8"/>
            <rFont val="Tahoma"/>
            <family val="2"/>
          </rPr>
          <t>Ilmenite</t>
        </r>
      </text>
    </comment>
    <comment ref="E7" authorId="0">
      <text>
        <r>
          <rPr>
            <sz val="8"/>
            <rFont val="Tahoma"/>
            <family val="2"/>
          </rPr>
          <t>Normally you calculate a norm using the analyzed Fe2O3 and FeO proportions.  To do this just put a zero in the space to the right.  Sometimes, if a rock has been chemically altered, metamorphosed, or if you don't have data for both Fe2O3 and FeO, you may want to use a standard ratio of these two components to calculate the norm.  To choose a standard ratio, replace the zero in this space with a number from 0 to 1, corresponding to the desired molar ratio of Fe3+/(Total Iron).  Common ratios used for rocks of the following compositions are: 0.1 for basalts and basaltic andesites, 0.15 for andesites, 0.2 for dacites, and 0.3 for rhyolites.</t>
        </r>
      </text>
    </comment>
    <comment ref="F7" authorId="0">
      <text>
        <r>
          <rPr>
            <sz val="8"/>
            <rFont val="Tahoma"/>
            <family val="2"/>
          </rPr>
          <t>Type in a zero or a number between 0 and 1.  If zero, the Fe2O3 and FeO values in the Rock Analysis column are used in the norm calculation.  If a value between zero and one is used, this value is used as the ratio of Fe3+ to total iron in the norm calculations.</t>
        </r>
      </text>
    </comment>
    <comment ref="AE7" authorId="0">
      <text>
        <r>
          <rPr>
            <sz val="8"/>
            <rFont val="Tahoma"/>
            <family val="2"/>
          </rPr>
          <t>Corundum</t>
        </r>
      </text>
    </comment>
    <comment ref="AH8" authorId="0">
      <text>
        <r>
          <rPr>
            <sz val="8"/>
            <rFont val="Tahoma"/>
            <family val="2"/>
          </rPr>
          <t>Magnetite</t>
        </r>
      </text>
    </comment>
    <comment ref="E9" authorId="0">
      <text>
        <r>
          <rPr>
            <sz val="8"/>
            <rFont val="Tahoma"/>
            <family val="2"/>
          </rPr>
          <t>Information value.  If all iron in your rock occured as FeO, this is the weight % of the rock this oxide would make up.</t>
        </r>
      </text>
    </comment>
    <comment ref="AJ9" authorId="0">
      <text>
        <r>
          <rPr>
            <sz val="8"/>
            <rFont val="Tahoma"/>
            <family val="2"/>
          </rPr>
          <t>Provisional Hypersthene</t>
        </r>
      </text>
    </comment>
    <comment ref="E10" authorId="0">
      <text>
        <r>
          <rPr>
            <sz val="8"/>
            <rFont val="Tahoma"/>
            <family val="2"/>
          </rPr>
          <t>Informational value.  Weight % Fe2O3 for the norm, based on your analysis, or on your requested ratio of Fe3+/(Total Iron), selected above under "Correction Factors".</t>
        </r>
      </text>
    </comment>
    <comment ref="Z10" authorId="0">
      <text>
        <r>
          <rPr>
            <sz val="8"/>
            <rFont val="Tahoma"/>
            <family val="2"/>
          </rPr>
          <t>Provisional Sphene</t>
        </r>
      </text>
    </comment>
    <comment ref="AF10" authorId="0">
      <text>
        <r>
          <rPr>
            <sz val="8"/>
            <rFont val="Tahoma"/>
            <family val="2"/>
          </rPr>
          <t>Provisional Sphene</t>
        </r>
      </text>
    </comment>
    <comment ref="E11" authorId="0">
      <text>
        <r>
          <rPr>
            <sz val="8"/>
            <rFont val="Tahoma"/>
            <family val="2"/>
          </rPr>
          <t>Informational value.  Weight % FeO for the norm, based on your analysis, or on your requested ratio of Fe3+/(Total Iron), selected above under "Correction Factors".</t>
        </r>
      </text>
    </comment>
    <comment ref="AS11" authorId="0">
      <text>
        <r>
          <rPr>
            <sz val="8"/>
            <rFont val="Tahoma"/>
            <family val="2"/>
          </rPr>
          <t>Diopside</t>
        </r>
      </text>
    </comment>
    <comment ref="E12" authorId="0">
      <text>
        <r>
          <rPr>
            <sz val="8"/>
            <rFont val="Tahoma"/>
            <family val="2"/>
          </rPr>
          <t>Informational value.  This value is used to recalculate your chemical analysis if you either decided to have the norm calculated to 100% total, or if you decided to change the ratio of the iron oxides in your analysis to use in the norm, or both.</t>
        </r>
      </text>
    </comment>
    <comment ref="AJ12" authorId="0">
      <text>
        <r>
          <rPr>
            <sz val="8"/>
            <rFont val="Tahoma"/>
            <family val="2"/>
          </rPr>
          <t>Diopside</t>
        </r>
      </text>
    </comment>
    <comment ref="AO12" authorId="0">
      <text>
        <r>
          <rPr>
            <sz val="8"/>
            <rFont val="Tahoma"/>
            <family val="2"/>
          </rPr>
          <t>Sphene</t>
        </r>
      </text>
    </comment>
    <comment ref="AD13" authorId="0">
      <text>
        <r>
          <rPr>
            <sz val="8"/>
            <rFont val="Tahoma"/>
            <family val="2"/>
          </rPr>
          <t>Provisional Albite</t>
        </r>
      </text>
    </comment>
    <comment ref="AN13" authorId="0">
      <text>
        <r>
          <rPr>
            <sz val="8"/>
            <rFont val="Tahoma"/>
            <family val="2"/>
          </rPr>
          <t>Hypersthene</t>
        </r>
      </text>
    </comment>
    <comment ref="AC14" authorId="0">
      <text>
        <r>
          <rPr>
            <sz val="8"/>
            <rFont val="Tahoma"/>
            <family val="2"/>
          </rPr>
          <t>Orthoclase or Leucite or Kalsilite</t>
        </r>
      </text>
    </comment>
    <comment ref="AP14" authorId="0">
      <text>
        <r>
          <rPr>
            <sz val="8"/>
            <rFont val="Tahoma"/>
            <family val="2"/>
          </rPr>
          <t>Albite</t>
        </r>
      </text>
    </comment>
    <comment ref="T15" authorId="0">
      <text>
        <r>
          <rPr>
            <sz val="8"/>
            <rFont val="Tahoma"/>
            <family val="2"/>
          </rPr>
          <t>Apatite</t>
        </r>
      </text>
    </comment>
    <comment ref="AC15" authorId="0">
      <text>
        <r>
          <rPr>
            <sz val="8"/>
            <rFont val="Tahoma"/>
            <family val="2"/>
          </rPr>
          <t>K2SiO3</t>
        </r>
      </text>
    </comment>
    <comment ref="AQ15" authorId="0">
      <text>
        <r>
          <rPr>
            <sz val="8"/>
            <rFont val="Tahoma"/>
            <family val="2"/>
          </rPr>
          <t>Orthoclase</t>
        </r>
      </text>
    </comment>
    <comment ref="AA16" authorId="0">
      <text>
        <r>
          <rPr>
            <sz val="8"/>
            <rFont val="Tahoma"/>
            <family val="2"/>
          </rPr>
          <t>Calcite</t>
        </r>
      </text>
    </comment>
    <comment ref="AR16" authorId="0">
      <text>
        <r>
          <rPr>
            <sz val="8"/>
            <rFont val="Tahoma"/>
            <family val="2"/>
          </rPr>
          <t>Wollastonite</t>
        </r>
      </text>
    </comment>
    <comment ref="W17" authorId="0">
      <text>
        <r>
          <rPr>
            <sz val="8"/>
            <rFont val="Tahoma"/>
            <family val="2"/>
          </rPr>
          <t>Anhydrite</t>
        </r>
      </text>
    </comment>
    <comment ref="AA17" authorId="0">
      <text>
        <r>
          <rPr>
            <sz val="8"/>
            <rFont val="Tahoma"/>
            <family val="2"/>
          </rPr>
          <t>Na2CO3</t>
        </r>
      </text>
    </comment>
    <comment ref="AN17" authorId="0">
      <text>
        <r>
          <rPr>
            <sz val="8"/>
            <rFont val="Tahoma"/>
            <family val="2"/>
          </rPr>
          <t>Olivine</t>
        </r>
      </text>
    </comment>
    <comment ref="AS17" authorId="0">
      <text>
        <r>
          <rPr>
            <sz val="8"/>
            <rFont val="Tahoma"/>
            <family val="2"/>
          </rPr>
          <t>Olivine</t>
        </r>
      </text>
    </comment>
    <comment ref="X18" authorId="0">
      <text>
        <r>
          <rPr>
            <sz val="8"/>
            <rFont val="Tahoma"/>
            <family val="2"/>
          </rPr>
          <t>Pyrite</t>
        </r>
      </text>
    </comment>
    <comment ref="AF18" authorId="0">
      <text>
        <r>
          <rPr>
            <sz val="8"/>
            <rFont val="Tahoma"/>
            <family val="2"/>
          </rPr>
          <t>Rutile</t>
        </r>
      </text>
    </comment>
    <comment ref="AJ18" authorId="0">
      <text>
        <r>
          <rPr>
            <sz val="8"/>
            <rFont val="Tahoma"/>
            <family val="2"/>
          </rPr>
          <t>Provisional Wollastonite</t>
        </r>
      </text>
    </comment>
    <comment ref="AO18" authorId="0">
      <text>
        <r>
          <rPr>
            <sz val="8"/>
            <rFont val="Tahoma"/>
            <family val="2"/>
          </rPr>
          <t>Perovskite</t>
        </r>
      </text>
    </comment>
    <comment ref="V19" authorId="0">
      <text>
        <r>
          <rPr>
            <sz val="8"/>
            <rFont val="Tahoma"/>
            <family val="2"/>
          </rPr>
          <t>Fluorite</t>
        </r>
      </text>
    </comment>
    <comment ref="AG19" authorId="0">
      <text>
        <r>
          <rPr>
            <sz val="8"/>
            <rFont val="Tahoma"/>
            <family val="2"/>
          </rPr>
          <t>Na2SiO3</t>
        </r>
      </text>
    </comment>
    <comment ref="AP19" authorId="0">
      <text>
        <r>
          <rPr>
            <sz val="8"/>
            <rFont val="Tahoma"/>
            <family val="2"/>
          </rPr>
          <t>Nepheline</t>
        </r>
      </text>
    </comment>
    <comment ref="U20" authorId="0">
      <text>
        <r>
          <rPr>
            <sz val="8"/>
            <rFont val="Tahoma"/>
            <family val="2"/>
          </rPr>
          <t>Halite</t>
        </r>
      </text>
    </comment>
    <comment ref="AD20" authorId="0">
      <text>
        <r>
          <rPr>
            <sz val="8"/>
            <rFont val="Tahoma"/>
            <family val="2"/>
          </rPr>
          <t>Na2SiO3 or Acmite</t>
        </r>
      </text>
    </comment>
    <comment ref="AG20" authorId="0">
      <text>
        <r>
          <rPr>
            <sz val="8"/>
            <rFont val="Tahoma"/>
            <family val="2"/>
          </rPr>
          <t>Acmite</t>
        </r>
      </text>
    </comment>
    <comment ref="AQ20" authorId="0">
      <text>
        <r>
          <rPr>
            <sz val="8"/>
            <rFont val="Tahoma"/>
            <family val="2"/>
          </rPr>
          <t>Leucite</t>
        </r>
      </text>
    </comment>
    <comment ref="AT20" authorId="0">
      <text>
        <r>
          <rPr>
            <sz val="8"/>
            <rFont val="Tahoma"/>
            <family val="2"/>
          </rPr>
          <t>Leucite</t>
        </r>
      </text>
    </comment>
    <comment ref="E21" authorId="0">
      <text>
        <r>
          <rPr>
            <sz val="8"/>
            <rFont val="Tahoma"/>
            <family val="2"/>
          </rPr>
          <t>This box checks certain parts of the calculations to be sure they are consistent with a correct norm.  The green OK message indicates that there is nothing grossly incorrect detected in this calculated norm.  This does not necessarily mean that the norm is correct, and you should always check for data entry errors and the reasonableness of the norm itself.</t>
        </r>
      </text>
    </comment>
    <comment ref="W21" authorId="0">
      <text>
        <r>
          <rPr>
            <sz val="8"/>
            <rFont val="Tahoma"/>
            <family val="2"/>
          </rPr>
          <t>Thenardite</t>
        </r>
      </text>
    </comment>
    <comment ref="AE21" authorId="0">
      <text>
        <r>
          <rPr>
            <sz val="8"/>
            <rFont val="Tahoma"/>
            <family val="2"/>
          </rPr>
          <t>Anorthite</t>
        </r>
      </text>
    </comment>
    <comment ref="AR21" authorId="0">
      <text>
        <r>
          <rPr>
            <sz val="8"/>
            <rFont val="Tahoma"/>
            <family val="2"/>
          </rPr>
          <t>Larnite</t>
        </r>
      </text>
    </comment>
    <comment ref="AS21" authorId="0">
      <text>
        <r>
          <rPr>
            <sz val="8"/>
            <rFont val="Tahoma"/>
            <family val="2"/>
          </rPr>
          <t>Larnite</t>
        </r>
      </text>
    </comment>
    <comment ref="E22" authorId="0">
      <text>
        <r>
          <rPr>
            <sz val="8"/>
            <rFont val="Tahoma"/>
            <family val="2"/>
          </rPr>
          <t>This box checks certain parts of the calculations to be sure they are consistent with a correct norm.  The red warning message indicates that there is a problem with the norm.  This may mean that your rock composition was typed in wrong, that the rock composition lies outside the composition space in which the norm is designed to work, or it may indicate a bug in the calculation program.  First, check for data entry errors.  If this is not the problem, bring it to my (Kurt Hollocher) attention.</t>
        </r>
      </text>
    </comment>
    <comment ref="AH22" authorId="0">
      <text>
        <r>
          <rPr>
            <sz val="8"/>
            <rFont val="Tahoma"/>
            <family val="2"/>
          </rPr>
          <t>Hematite</t>
        </r>
      </text>
    </comment>
    <comment ref="AT22" authorId="0">
      <text>
        <r>
          <rPr>
            <sz val="8"/>
            <rFont val="Tahoma"/>
            <family val="2"/>
          </rPr>
          <t>Kalsilite</t>
        </r>
      </text>
    </comment>
    <comment ref="Y23" authorId="0">
      <text>
        <r>
          <rPr>
            <sz val="8"/>
            <rFont val="Tahoma"/>
            <family val="2"/>
          </rPr>
          <t>Magnesiochromite</t>
        </r>
      </text>
    </comment>
    <comment ref="Y24" authorId="0">
      <text>
        <r>
          <rPr>
            <sz val="8"/>
            <rFont val="Tahoma"/>
            <family val="2"/>
          </rPr>
          <t>Chromite</t>
        </r>
      </text>
    </comment>
    <comment ref="AB25" authorId="0">
      <text>
        <r>
          <rPr>
            <sz val="8"/>
            <rFont val="Tahoma"/>
            <family val="2"/>
          </rPr>
          <t>Zircon</t>
        </r>
      </text>
    </comment>
    <comment ref="B27" authorId="0">
      <text>
        <r>
          <rPr>
            <sz val="8"/>
            <rFont val="Tahoma"/>
            <family val="2"/>
          </rPr>
          <t>This total excludes the trace elements.</t>
        </r>
      </text>
    </comment>
    <comment ref="H27" authorId="0">
      <text>
        <r>
          <rPr>
            <sz val="8"/>
            <rFont val="Tahoma"/>
            <family val="2"/>
          </rPr>
          <t>This total includes the trace elements.  The trace element values listed above have also been recalculated from ppm to the weight % of their respective oxides.</t>
        </r>
      </text>
    </comment>
    <comment ref="Q32" authorId="0">
      <text>
        <r>
          <rPr>
            <sz val="8"/>
            <rFont val="Tahoma"/>
            <family val="2"/>
          </rPr>
          <t>Grams/cc, calculated assuming the crudly estimated liquidus temperature given below.  From McBirney, A.R.., 1993, Igneous Petrology, Second Edition.  Appendix B, in, Jones and Bartlett Publishers, Boston, 508 p.</t>
        </r>
      </text>
    </comment>
    <comment ref="K37" authorId="0">
      <text>
        <r>
          <rPr>
            <sz val="8"/>
            <rFont val="Tahoma"/>
            <family val="2"/>
          </rPr>
          <t>Within rounding error (usually +/- 0.10) this total should be the same as the total for the Corrected Analysis in the column to the left.  If not, either rounding error is excessive this time, your rock composition lies outside the composition space for which the CIPW norm was designed, or there is a bug in the program.</t>
        </r>
      </text>
    </comment>
    <comment ref="M37" authorId="0">
      <text>
        <r>
          <rPr>
            <sz val="8"/>
            <rFont val="Tahoma"/>
            <family val="2"/>
          </rPr>
          <t>The volume norm is always normalized to 100%, excluding rounding errors.</t>
        </r>
      </text>
    </comment>
    <comment ref="J38" authorId="0">
      <text>
        <r>
          <rPr>
            <sz val="8"/>
            <rFont val="Tahoma"/>
            <family val="2"/>
          </rPr>
          <t>The molar ratio of ferric (Fe3+) iron to total iron in the rock composition used for the norm (specifically the ratio in the Corrected Analysis).  This ratio is a measure of the oxidation state of the rock.  Expressed out of a maximum of 100%.</t>
        </r>
      </text>
    </comment>
    <comment ref="J39" authorId="0">
      <text>
        <r>
          <rPr>
            <sz val="8"/>
            <rFont val="Tahoma"/>
            <family val="2"/>
          </rPr>
          <t>The molar ratio of Mg to the total of Mg and Total Iron in the rock (specifically in the Corrected Analysis).  This ratio is a measure of the differentiation of an igneous rock.  This ratio is independent of the degree of oxidation of the iron in the rock.  Expressed out of a maximum of 100%.</t>
        </r>
      </text>
    </comment>
    <comment ref="J40" authorId="0">
      <text>
        <r>
          <rPr>
            <sz val="8"/>
            <rFont val="Tahoma"/>
            <family val="2"/>
          </rPr>
          <t>The molar ratio of Mg to the total of Mg and Fe2+ in the rock (specifically in the Corrected Analysis).  This ratio is a measure of the differentiation of an igneous rock.  Expressed out of a maximum of 100%.</t>
        </r>
      </text>
    </comment>
    <comment ref="J41" authorId="0">
      <text>
        <r>
          <rPr>
            <sz val="8"/>
            <rFont val="Tahoma"/>
            <family val="2"/>
          </rPr>
          <t>The molar ratio of Mg to the total of Mg and Fe2+ in the normative silicates (olivine, diopside, and hypersthene).  This ratio is a measure of the differentiation of an igneous rock.  Expressed out of a maximum of 100%</t>
        </r>
      </text>
    </comment>
    <comment ref="J42" authorId="0">
      <text>
        <r>
          <rPr>
            <sz val="8"/>
            <rFont val="Tahoma"/>
            <family val="2"/>
          </rPr>
          <t>The molar ratio of Ca to the total of Ca and Na in the rock (specifically in the Corrected Analysis).  This ratio is a measure of the differentiation of an igneous rock.  Expressed out of a maximum of 100%.</t>
        </r>
      </text>
    </comment>
    <comment ref="J43" authorId="0">
      <text>
        <r>
          <rPr>
            <sz val="8"/>
            <rFont val="Tahoma"/>
            <family val="2"/>
          </rPr>
          <t>The molar ratio of Ca/(Ca+Na) in the normative plagiolclase feldspar, expressed out of a maximum value of 100%.  This ratio is one measure of the differentiation of an igneous rock.</t>
        </r>
      </text>
    </comment>
    <comment ref="J44" authorId="0">
      <text>
        <r>
          <rPr>
            <sz val="8"/>
            <rFont val="Tahoma"/>
            <family val="2"/>
          </rPr>
          <t>Thornton-Tuttle differentiation index.  This is the ratio of normative (quartz + albite + orthoclase + nepheline + leucite + kalsilite + sodium carbonate + sodium sulfate) to the weight total of the norm.  This is a measure of the differentiation of an igneous rock.  Note the two different values calculated for the weight and volume norms.  Expressed out of a maximum of 100%.</t>
        </r>
      </text>
    </comment>
    <comment ref="J45" authorId="0">
      <text>
        <r>
          <rPr>
            <sz val="8"/>
            <rFont val="Tahoma"/>
            <family val="2"/>
          </rPr>
          <t>The solid rock density calculated from the volume norm.  Except for the exclusion of water in the norm (admittedly a substantial problem), this calculated value is probably quite accurate.</t>
        </r>
      </text>
    </comment>
    <comment ref="J46" authorId="0">
      <text>
        <r>
          <rPr>
            <sz val="8"/>
            <rFont val="Tahoma"/>
            <family val="2"/>
          </rPr>
          <t>Grams/cc, calculated assuming a dry magma and the crudly estimated liquidus temperature given below.  From McBirney, A.R.., 1993, Igneous Petrology, Second Edition.  Appendix B, in, Jones and Bartlett Publishers, Boston, 508 p.</t>
        </r>
      </text>
    </comment>
    <comment ref="J47" authorId="0">
      <text>
        <r>
          <rPr>
            <sz val="8"/>
            <rFont val="Tahoma"/>
            <family val="2"/>
          </rPr>
          <t>Log base 10 of the liquid viscosity in Pas (Pascal seconds), calculated assuming a dry magma and the crudely estimated liquidus temperature given below.  From McBirney, A.R., 1993, Igneous Petrology, Second Edition.  Appendix B, in, Jones and Bartlett Publishers, Boston, 508 p.</t>
        </r>
      </text>
    </comment>
    <comment ref="J48" authorId="0">
      <text>
        <r>
          <rPr>
            <sz val="8"/>
            <rFont val="Tahoma"/>
            <family val="2"/>
          </rPr>
          <t>Log base 10 of the liquid viscosity in Pas (Pascal seconds), calculated assuming a wet magma and the crudely estimated liquidus temperature given below.  %H2O in the magma was estimated as described below under "estimated H2O content".  From McBirney, A.R., 1993, Igneous Petrology, Second Edition.  Appendix B, in, Jones and Bartlett Publishers, Boston, 508 p.</t>
        </r>
      </text>
    </comment>
    <comment ref="J49" authorId="0">
      <text>
        <r>
          <rPr>
            <sz val="8"/>
            <rFont val="Tahoma"/>
            <family val="2"/>
          </rPr>
          <t>Calculated using a linear equation that assumes liquidus temperatures of 1250 C for magmas with 48% SiO2 and 700 C for magmas with 78% SiO2:  Temp = (- 18.33 * SiO2%) + 2130.  This value is only used for liquid density and viscosity calculations.  Do not use for petrogenetic purposes.</t>
        </r>
      </text>
    </comment>
    <comment ref="J50" authorId="0">
      <text>
        <r>
          <rPr>
            <sz val="8"/>
            <rFont val="Tahoma"/>
            <family val="2"/>
          </rPr>
          <t>This estimate is based on medium-pressure plutonic rocks, and is a 4th order polynomial fit through a set of assumed values that are based on silica content.  The polynomial is fit through the following %SiO2/%H2O points: 35/0.1, 40/0.1, 45/0.2, 50/0.4, 55/0.8, 60/1.6, 65/2.8, 70/3.9, 75/5.0, and 78/6.0.  This value is for wet magma viscosity calculations only and should not be used for petrogenetic purposes.</t>
        </r>
      </text>
    </comment>
    <comment ref="Q68" authorId="0">
      <text>
        <r>
          <rPr>
            <sz val="8"/>
            <rFont val="Tahoma"/>
            <family val="2"/>
          </rPr>
          <t>This total excludes the trace elements.</t>
        </r>
      </text>
    </comment>
    <comment ref="S12" authorId="1">
      <text>
        <r>
          <rPr>
            <sz val="8"/>
            <rFont val="Tahoma"/>
            <family val="2"/>
          </rPr>
          <t>CaO now includes SrO</t>
        </r>
      </text>
    </comment>
    <comment ref="S14" authorId="1">
      <text>
        <r>
          <rPr>
            <sz val="8"/>
            <rFont val="Tahoma"/>
            <family val="2"/>
          </rPr>
          <t>K2O now includes BaO, because Ba substitutes vastly better into K-feldspar than into plagioclase.  This is not a perfect solution for what to do with Ba, but it seems better than having a separate celsian normative component.</t>
        </r>
      </text>
    </comment>
  </commentList>
</comments>
</file>

<file path=xl/sharedStrings.xml><?xml version="1.0" encoding="utf-8"?>
<sst xmlns="http://schemas.openxmlformats.org/spreadsheetml/2006/main" count="400" uniqueCount="181">
  <si>
    <t>Program run:</t>
  </si>
  <si>
    <t>HELP</t>
  </si>
  <si>
    <t>Sample Number:</t>
  </si>
  <si>
    <t>Calculations</t>
  </si>
  <si>
    <t>Mol.</t>
  </si>
  <si>
    <t>Calculation steps after Johannsen, 1931.</t>
  </si>
  <si>
    <t>Silica proportioning</t>
  </si>
  <si>
    <t>MW</t>
  </si>
  <si>
    <t>Weight</t>
  </si>
  <si>
    <t>Mineral</t>
  </si>
  <si>
    <t>Vol.Prop.</t>
  </si>
  <si>
    <t>Volume</t>
  </si>
  <si>
    <t>Cont. to</t>
  </si>
  <si>
    <t>Rock</t>
  </si>
  <si>
    <t>Normative</t>
  </si>
  <si>
    <t>Weight %</t>
  </si>
  <si>
    <t>Volume %</t>
  </si>
  <si>
    <t>Wts.</t>
  </si>
  <si>
    <t>3a</t>
  </si>
  <si>
    <t>3b</t>
  </si>
  <si>
    <t>3g</t>
  </si>
  <si>
    <t>3c</t>
  </si>
  <si>
    <t>3d</t>
  </si>
  <si>
    <t>3e</t>
  </si>
  <si>
    <t>3f</t>
  </si>
  <si>
    <t>3h</t>
  </si>
  <si>
    <t>3i</t>
  </si>
  <si>
    <t>4a 4b</t>
  </si>
  <si>
    <t>4c 4g</t>
  </si>
  <si>
    <t>4d 4e 4f</t>
  </si>
  <si>
    <t>3f cont</t>
  </si>
  <si>
    <t>5a 5b</t>
  </si>
  <si>
    <t>5c 5d</t>
  </si>
  <si>
    <t>7a 7b 7c</t>
  </si>
  <si>
    <t>8a</t>
  </si>
  <si>
    <t>8b</t>
  </si>
  <si>
    <t>8c</t>
  </si>
  <si>
    <t>8d</t>
  </si>
  <si>
    <t>8e</t>
  </si>
  <si>
    <t>8f</t>
  </si>
  <si>
    <t>8g2</t>
  </si>
  <si>
    <t>8g1</t>
  </si>
  <si>
    <t>8h</t>
  </si>
  <si>
    <t>Props.</t>
  </si>
  <si>
    <t>Minerals</t>
  </si>
  <si>
    <t>Norm</t>
  </si>
  <si>
    <t>Density</t>
  </si>
  <si>
    <t>of Minerals</t>
  </si>
  <si>
    <t>Analysis</t>
  </si>
  <si>
    <t>Factors</t>
  </si>
  <si>
    <t>SiO2</t>
  </si>
  <si>
    <t>Quartz</t>
  </si>
  <si>
    <t>%</t>
  </si>
  <si>
    <t>Total=100%? Y/N</t>
  </si>
  <si>
    <t>TiO2</t>
  </si>
  <si>
    <t>Zircon</t>
  </si>
  <si>
    <t>Fe3+/(Total Iron)</t>
  </si>
  <si>
    <t>Plagioclase</t>
  </si>
  <si>
    <t>Al2O3</t>
  </si>
  <si>
    <t>K2SiO3</t>
  </si>
  <si>
    <t>Orthoclase</t>
  </si>
  <si>
    <t>Fe2O3</t>
  </si>
  <si>
    <t>Anorthite</t>
  </si>
  <si>
    <t>Total Fe as FeO</t>
  </si>
  <si>
    <t>Nepheline</t>
  </si>
  <si>
    <t>FeO</t>
  </si>
  <si>
    <t>Na2SiO3</t>
  </si>
  <si>
    <t>Desired Fe2O3</t>
  </si>
  <si>
    <t>Leucite</t>
  </si>
  <si>
    <t>MnO</t>
  </si>
  <si>
    <t>Acmite</t>
  </si>
  <si>
    <t>Desired FeO</t>
  </si>
  <si>
    <t>Kalsilite</t>
  </si>
  <si>
    <t>MgO</t>
  </si>
  <si>
    <t>Diopside</t>
  </si>
  <si>
    <t>Weight corr. factor</t>
  </si>
  <si>
    <t>Corundum</t>
  </si>
  <si>
    <t>CaO</t>
  </si>
  <si>
    <t>Sphene</t>
  </si>
  <si>
    <t>Na2O</t>
  </si>
  <si>
    <t>Hypersthene</t>
  </si>
  <si>
    <t>K2O</t>
  </si>
  <si>
    <t>Albite</t>
  </si>
  <si>
    <t>Wollastonite</t>
  </si>
  <si>
    <t>P2O5</t>
  </si>
  <si>
    <t>Olivine</t>
  </si>
  <si>
    <t>CO2</t>
  </si>
  <si>
    <t>Larnite</t>
  </si>
  <si>
    <t>SO3</t>
  </si>
  <si>
    <t>S</t>
  </si>
  <si>
    <t>Perovskite</t>
  </si>
  <si>
    <t>F</t>
  </si>
  <si>
    <t>Norm calculation checks:</t>
  </si>
  <si>
    <t>Cl</t>
  </si>
  <si>
    <t>Rutile</t>
  </si>
  <si>
    <t>Sr</t>
  </si>
  <si>
    <t>ppm</t>
  </si>
  <si>
    <t>Ilmenite</t>
  </si>
  <si>
    <t>Ba</t>
  </si>
  <si>
    <t>Magnetite</t>
  </si>
  <si>
    <t>Ni</t>
  </si>
  <si>
    <t>Apatite</t>
  </si>
  <si>
    <t>Hematite</t>
  </si>
  <si>
    <t>Cr</t>
  </si>
  <si>
    <t>Halite</t>
  </si>
  <si>
    <t>Zr</t>
  </si>
  <si>
    <t>Fluorite</t>
  </si>
  <si>
    <t>Element affected in calculation</t>
  </si>
  <si>
    <t>Anhydrite</t>
  </si>
  <si>
    <t>Total</t>
  </si>
  <si>
    <t>Final mineral proportion</t>
  </si>
  <si>
    <t xml:space="preserve"> =MW F-free apatite</t>
  </si>
  <si>
    <t>Magnesiochromite</t>
  </si>
  <si>
    <t>Calcite</t>
  </si>
  <si>
    <t>An' in plagioclase</t>
  </si>
  <si>
    <t>Thenardite</t>
  </si>
  <si>
    <t>Chromite</t>
  </si>
  <si>
    <t>Provisional mineral proportion</t>
  </si>
  <si>
    <t xml:space="preserve"> =MW F-bearing apatite</t>
  </si>
  <si>
    <t>Na2CO3</t>
  </si>
  <si>
    <t>Pyrite</t>
  </si>
  <si>
    <t xml:space="preserve"> =MW apatite in this sample</t>
  </si>
  <si>
    <t>Mg' silicates</t>
  </si>
  <si>
    <t>MW FMO</t>
  </si>
  <si>
    <t>Density calculations</t>
  </si>
  <si>
    <t>Viscosity calculations, dry magma</t>
  </si>
  <si>
    <t>Wt.%</t>
  </si>
  <si>
    <t>Cor.%</t>
  </si>
  <si>
    <t>Ox.Prop.</t>
  </si>
  <si>
    <t>Cat/ox</t>
  </si>
  <si>
    <t>Cat prop.</t>
  </si>
  <si>
    <t>t</t>
  </si>
  <si>
    <t>Cat prop</t>
  </si>
  <si>
    <t>Cat prop. normalized to 1</t>
  </si>
  <si>
    <t>First calcs</t>
  </si>
  <si>
    <t>Second calcs</t>
  </si>
  <si>
    <t>Na2SO4</t>
  </si>
  <si>
    <t>Z1</t>
  </si>
  <si>
    <t>C</t>
  </si>
  <si>
    <t>Q1</t>
  </si>
  <si>
    <t>Z2</t>
  </si>
  <si>
    <t>Q2</t>
  </si>
  <si>
    <t>Z3</t>
  </si>
  <si>
    <t>Q3</t>
  </si>
  <si>
    <t>Z4</t>
  </si>
  <si>
    <t>FM</t>
  </si>
  <si>
    <t>Q4</t>
  </si>
  <si>
    <t>Fe3+/(Total Fe) in rock</t>
  </si>
  <si>
    <t>Z5</t>
  </si>
  <si>
    <t xml:space="preserve"> = rock density</t>
  </si>
  <si>
    <t>Mg/(Mg+Total Fe) in rock</t>
  </si>
  <si>
    <t>Z6</t>
  </si>
  <si>
    <t>QT</t>
  </si>
  <si>
    <t>Mg/(Mg+Fe2+) in rock</t>
  </si>
  <si>
    <t>Z7</t>
  </si>
  <si>
    <t>X</t>
  </si>
  <si>
    <t>Mg/(Mg+Fe2+) in silicates</t>
  </si>
  <si>
    <t>Z8</t>
  </si>
  <si>
    <t>Ca/(Ca+Na) in rock</t>
  </si>
  <si>
    <t>Z9</t>
  </si>
  <si>
    <t>NK</t>
  </si>
  <si>
    <t>Z10</t>
  </si>
  <si>
    <t>Differentiation Index</t>
  </si>
  <si>
    <t>Calculated density, g/cc</t>
  </si>
  <si>
    <t>Log v</t>
  </si>
  <si>
    <t>Viscosity calculations, wet magma</t>
  </si>
  <si>
    <t>Q5</t>
  </si>
  <si>
    <t>H2O</t>
  </si>
  <si>
    <t>This program was written by Kurt Hollocher, Geology Department, Union College, Schenectady, NY, 12308, hollochk@union.edu</t>
  </si>
  <si>
    <t>Norm calculation section</t>
  </si>
  <si>
    <t>Rock analysis normalized to 100%</t>
  </si>
  <si>
    <t>Calculated liquid density, g/cc</t>
  </si>
  <si>
    <t>Calculated viscosity, dry, Pas</t>
  </si>
  <si>
    <t>Calculated viscosity, wet, Pas</t>
  </si>
  <si>
    <t>Estimated liquidus temp., °C</t>
  </si>
  <si>
    <t>Estimated H2O content, wt. %</t>
  </si>
  <si>
    <t>Normalized</t>
  </si>
  <si>
    <t>Normalization</t>
  </si>
  <si>
    <t>n</t>
  </si>
  <si>
    <t>Plagioclase An content</t>
  </si>
  <si>
    <t>Norm 4: norm calculation program</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</si>
</sst>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quot;$&quot;* #,##0.00_ ;_ &quot;$&quot;* \-#,##0.00_ ;_ &quot;$&quot;* &quot;-&quot;??_ ;_ @_ "/>
    <numFmt numFmtId="190" formatCode="d/m/yy"/>
    <numFmt numFmtId="191" formatCode="d/m/yy\ h:mm"/>
    <numFmt numFmtId="192" formatCode="0.000"/>
    <numFmt numFmtId="193" formatCode="0.0000"/>
    <numFmt numFmtId="194" formatCode="0.0"/>
    <numFmt numFmtId="195" formatCode="mmm/d/yy"/>
    <numFmt numFmtId="196" formatCode="mmm\ d/yy"/>
    <numFmt numFmtId="197" formatCode="mmm/\ d\,\ yy"/>
  </numFmts>
  <fonts count="9">
    <font>
      <sz val="8"/>
      <name val="MS Sans Serif"/>
      <family val="2"/>
    </font>
    <font>
      <b/>
      <sz val="10"/>
      <name val="MS Sans Serif"/>
      <family val="2"/>
    </font>
    <font>
      <i/>
      <sz val="10"/>
      <name val="MS Sans Serif"/>
      <family val="2"/>
    </font>
    <font>
      <b/>
      <i/>
      <sz val="10"/>
      <name val="MS Sans Serif"/>
      <family val="2"/>
    </font>
    <font>
      <sz val="10"/>
      <name val="MS Sans Serif"/>
      <family val="2"/>
    </font>
    <font>
      <b/>
      <sz val="8"/>
      <name val="MS Sans Serif"/>
      <family val="2"/>
    </font>
    <font>
      <b/>
      <sz val="8"/>
      <color indexed="10"/>
      <name val="MS Sans Serif"/>
      <family val="2"/>
    </font>
    <font>
      <b/>
      <sz val="8"/>
      <color indexed="17"/>
      <name val="MS Sans Serif"/>
      <family val="2"/>
    </font>
    <font>
      <sz val="8"/>
      <name val="Tahoma"/>
      <family val="2"/>
    </font>
  </fonts>
  <fills count="16">
    <fill>
      <patternFill/>
    </fill>
    <fill>
      <patternFill patternType="gray125"/>
    </fill>
    <fill>
      <patternFill patternType="solid">
        <fgColor indexed="15"/>
        <bgColor indexed="64"/>
      </patternFill>
    </fill>
    <fill>
      <patternFill patternType="solid">
        <fgColor indexed="11"/>
        <bgColor indexed="64"/>
      </patternFill>
    </fill>
    <fill>
      <patternFill patternType="solid">
        <fgColor indexed="13"/>
        <bgColor indexed="64"/>
      </patternFill>
    </fill>
    <fill>
      <patternFill patternType="lightGray">
        <fgColor indexed="15"/>
      </patternFill>
    </fill>
    <fill>
      <patternFill patternType="solid">
        <fgColor indexed="10"/>
        <bgColor indexed="64"/>
      </patternFill>
    </fill>
    <fill>
      <patternFill patternType="gray125">
        <fgColor indexed="9"/>
      </patternFill>
    </fill>
    <fill>
      <patternFill patternType="solid">
        <fgColor indexed="42"/>
        <bgColor indexed="64"/>
      </patternFill>
    </fill>
    <fill>
      <patternFill patternType="solid">
        <fgColor indexed="47"/>
        <bgColor indexed="64"/>
      </patternFill>
    </fill>
    <fill>
      <patternFill patternType="lightGray">
        <fgColor indexed="13"/>
      </patternFill>
    </fill>
    <fill>
      <patternFill patternType="lightGray">
        <fgColor indexed="15"/>
        <bgColor indexed="41"/>
      </patternFill>
    </fill>
    <fill>
      <patternFill patternType="solid">
        <fgColor indexed="45"/>
        <bgColor indexed="64"/>
      </patternFill>
    </fill>
    <fill>
      <patternFill patternType="lightGray">
        <fgColor indexed="13"/>
        <bgColor indexed="43"/>
      </patternFill>
    </fill>
    <fill>
      <patternFill patternType="solid">
        <fgColor indexed="43"/>
        <bgColor indexed="64"/>
      </patternFill>
    </fill>
    <fill>
      <patternFill patternType="solid">
        <fgColor indexed="43"/>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187" fontId="4" fillId="0" borderId="0" applyFont="0" applyFill="0" applyBorder="0" applyAlignment="0" applyProtection="0"/>
    <xf numFmtId="4" fontId="4" fillId="0" borderId="0" applyFont="0" applyFill="0" applyBorder="0" applyAlignment="0" applyProtection="0"/>
  </cellStyleXfs>
  <cellXfs count="151">
    <xf numFmtId="0" fontId="0" fillId="0" borderId="0" xfId="0" applyAlignment="1">
      <alignment/>
    </xf>
    <xf numFmtId="2" fontId="0" fillId="0" borderId="0" xfId="0" applyNumberFormat="1" applyAlignment="1">
      <alignment/>
    </xf>
    <xf numFmtId="0" fontId="0" fillId="0" borderId="0" xfId="0" applyAlignment="1">
      <alignment horizontal="center"/>
    </xf>
    <xf numFmtId="0" fontId="0" fillId="2" borderId="0" xfId="0" applyFill="1" applyAlignment="1">
      <alignment/>
    </xf>
    <xf numFmtId="0" fontId="0" fillId="3" borderId="0" xfId="0" applyFill="1" applyAlignment="1">
      <alignment/>
    </xf>
    <xf numFmtId="0" fontId="0" fillId="4" borderId="0" xfId="0" applyFill="1" applyAlignment="1">
      <alignment/>
    </xf>
    <xf numFmtId="0" fontId="0" fillId="0" borderId="0" xfId="0" applyFill="1" applyAlignment="1">
      <alignment/>
    </xf>
    <xf numFmtId="0" fontId="0" fillId="0" borderId="1" xfId="0" applyBorder="1" applyAlignment="1">
      <alignment/>
    </xf>
    <xf numFmtId="0" fontId="0" fillId="0" borderId="0" xfId="0" applyBorder="1" applyAlignment="1">
      <alignment/>
    </xf>
    <xf numFmtId="2" fontId="0" fillId="0" borderId="0" xfId="0" applyNumberFormat="1" applyBorder="1" applyAlignment="1">
      <alignment/>
    </xf>
    <xf numFmtId="0" fontId="0" fillId="2" borderId="0" xfId="0" applyFill="1" applyBorder="1" applyAlignment="1">
      <alignment/>
    </xf>
    <xf numFmtId="0" fontId="0" fillId="4" borderId="0" xfId="0" applyFill="1" applyBorder="1" applyAlignment="1">
      <alignment/>
    </xf>
    <xf numFmtId="0" fontId="0" fillId="3" borderId="0" xfId="0" applyFill="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Alignment="1">
      <alignment horizontal="center"/>
    </xf>
    <xf numFmtId="0" fontId="5" fillId="0" borderId="0" xfId="0" applyFont="1" applyAlignment="1">
      <alignment horizontal="left"/>
    </xf>
    <xf numFmtId="0" fontId="5" fillId="0" borderId="1" xfId="0" applyFont="1" applyBorder="1" applyAlignment="1">
      <alignment horizontal="center"/>
    </xf>
    <xf numFmtId="0" fontId="5" fillId="0" borderId="1" xfId="0" applyFont="1" applyBorder="1" applyAlignment="1">
      <alignment/>
    </xf>
    <xf numFmtId="0" fontId="5" fillId="0" borderId="1" xfId="0" applyFont="1" applyBorder="1" applyAlignment="1">
      <alignment horizontal="left"/>
    </xf>
    <xf numFmtId="2" fontId="0" fillId="0" borderId="1" xfId="0" applyNumberFormat="1" applyBorder="1" applyAlignment="1">
      <alignment/>
    </xf>
    <xf numFmtId="194" fontId="0" fillId="0" borderId="2" xfId="0" applyNumberFormat="1" applyBorder="1" applyAlignment="1">
      <alignment/>
    </xf>
    <xf numFmtId="0" fontId="0" fillId="0" borderId="3" xfId="0" applyBorder="1" applyAlignment="1">
      <alignment/>
    </xf>
    <xf numFmtId="194" fontId="0" fillId="0" borderId="0" xfId="0" applyNumberFormat="1" applyBorder="1" applyAlignment="1">
      <alignment/>
    </xf>
    <xf numFmtId="0" fontId="0" fillId="0" borderId="4" xfId="0" applyBorder="1" applyAlignment="1">
      <alignment/>
    </xf>
    <xf numFmtId="0" fontId="0" fillId="0" borderId="1" xfId="0" applyBorder="1" applyAlignment="1">
      <alignment horizontal="center"/>
    </xf>
    <xf numFmtId="0" fontId="0" fillId="0" borderId="1" xfId="0" applyBorder="1" applyAlignment="1">
      <alignment/>
    </xf>
    <xf numFmtId="0" fontId="0" fillId="3" borderId="1" xfId="0" applyFill="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0" fillId="0" borderId="1" xfId="0" applyBorder="1" applyAlignment="1">
      <alignment horizontal="left"/>
    </xf>
    <xf numFmtId="0" fontId="5" fillId="0" borderId="2" xfId="0" applyFont="1" applyBorder="1" applyAlignment="1">
      <alignment/>
    </xf>
    <xf numFmtId="2" fontId="5" fillId="0" borderId="5" xfId="0" applyNumberFormat="1" applyFont="1" applyBorder="1" applyAlignment="1">
      <alignment/>
    </xf>
    <xf numFmtId="2" fontId="0" fillId="0" borderId="3" xfId="0" applyNumberForma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1" borderId="0" xfId="0" applyFill="1" applyAlignment="1">
      <alignment/>
    </xf>
    <xf numFmtId="0" fontId="0" fillId="0" borderId="1" xfId="0" applyBorder="1" applyAlignment="1" applyProtection="1">
      <alignment horizontal="center"/>
      <protection locked="0"/>
    </xf>
    <xf numFmtId="0" fontId="0" fillId="0" borderId="1" xfId="0" applyBorder="1" applyAlignment="1" applyProtection="1">
      <alignment/>
      <protection locked="0"/>
    </xf>
    <xf numFmtId="0" fontId="0" fillId="0" borderId="0" xfId="0" applyFill="1" applyAlignment="1">
      <alignment horizontal="center"/>
    </xf>
    <xf numFmtId="0" fontId="5" fillId="0" borderId="5" xfId="0" applyFont="1" applyFill="1" applyBorder="1" applyAlignment="1">
      <alignment/>
    </xf>
    <xf numFmtId="0" fontId="5" fillId="0" borderId="6" xfId="0" applyFont="1" applyFill="1" applyBorder="1" applyAlignment="1">
      <alignment/>
    </xf>
    <xf numFmtId="0" fontId="5" fillId="0" borderId="7" xfId="0" applyFont="1" applyFill="1" applyBorder="1" applyAlignment="1">
      <alignment/>
    </xf>
    <xf numFmtId="2" fontId="0" fillId="0" borderId="0" xfId="0" applyNumberFormat="1" applyFill="1" applyAlignment="1">
      <alignment/>
    </xf>
    <xf numFmtId="2" fontId="0" fillId="5" borderId="1" xfId="0" applyNumberFormat="1" applyFill="1" applyBorder="1" applyAlignment="1">
      <alignment/>
    </xf>
    <xf numFmtId="0" fontId="5" fillId="6" borderId="9" xfId="0" applyFont="1" applyFill="1" applyBorder="1" applyAlignment="1">
      <alignment horizontal="center"/>
    </xf>
    <xf numFmtId="2" fontId="0" fillId="0" borderId="0" xfId="0" applyNumberFormat="1" applyAlignment="1">
      <alignment horizontal="right"/>
    </xf>
    <xf numFmtId="0" fontId="0" fillId="0" borderId="0" xfId="0" applyNumberFormat="1" applyAlignment="1">
      <alignment/>
    </xf>
    <xf numFmtId="2" fontId="0" fillId="0" borderId="10" xfId="0" applyNumberFormat="1" applyBorder="1" applyAlignment="1">
      <alignment/>
    </xf>
    <xf numFmtId="14" fontId="0" fillId="0" borderId="0" xfId="0" applyNumberFormat="1" applyAlignment="1" applyProtection="1">
      <alignment/>
      <protection/>
    </xf>
    <xf numFmtId="0" fontId="5" fillId="0" borderId="11" xfId="0" applyFont="1" applyBorder="1" applyAlignment="1">
      <alignment/>
    </xf>
    <xf numFmtId="0" fontId="0" fillId="0" borderId="12" xfId="0" applyBorder="1" applyAlignment="1">
      <alignment/>
    </xf>
    <xf numFmtId="0" fontId="5" fillId="0" borderId="12" xfId="0" applyFont="1" applyBorder="1" applyAlignment="1">
      <alignment/>
    </xf>
    <xf numFmtId="2" fontId="5" fillId="0" borderId="0" xfId="0" applyNumberFormat="1" applyFont="1" applyFill="1" applyAlignment="1">
      <alignment/>
    </xf>
    <xf numFmtId="2" fontId="5" fillId="0" borderId="6" xfId="0" applyNumberFormat="1" applyFont="1" applyFill="1" applyBorder="1" applyAlignment="1">
      <alignment/>
    </xf>
    <xf numFmtId="2" fontId="0" fillId="0" borderId="11" xfId="0" applyNumberFormat="1" applyFill="1" applyBorder="1" applyAlignment="1">
      <alignment/>
    </xf>
    <xf numFmtId="0" fontId="0" fillId="0" borderId="13" xfId="0" applyBorder="1" applyAlignment="1">
      <alignment/>
    </xf>
    <xf numFmtId="193" fontId="0" fillId="0" borderId="0" xfId="0" applyNumberFormat="1" applyBorder="1" applyAlignment="1">
      <alignment/>
    </xf>
    <xf numFmtId="2" fontId="0" fillId="0" borderId="4" xfId="0" applyNumberFormat="1" applyBorder="1" applyAlignment="1">
      <alignment/>
    </xf>
    <xf numFmtId="2" fontId="0" fillId="0" borderId="8" xfId="0" applyNumberFormat="1" applyBorder="1" applyAlignment="1">
      <alignment/>
    </xf>
    <xf numFmtId="193" fontId="0" fillId="0" borderId="1" xfId="0" applyNumberFormat="1" applyBorder="1" applyAlignment="1">
      <alignment/>
    </xf>
    <xf numFmtId="0" fontId="0" fillId="0" borderId="12" xfId="0" applyBorder="1" applyAlignment="1">
      <alignment horizontal="right"/>
    </xf>
    <xf numFmtId="2" fontId="0" fillId="0" borderId="0" xfId="0" applyNumberFormat="1" applyBorder="1" applyAlignment="1">
      <alignment horizontal="right"/>
    </xf>
    <xf numFmtId="193" fontId="0" fillId="0" borderId="0" xfId="0" applyNumberFormat="1" applyBorder="1" applyAlignment="1">
      <alignment horizontal="right"/>
    </xf>
    <xf numFmtId="0" fontId="0" fillId="0" borderId="0" xfId="0" applyBorder="1" applyAlignment="1">
      <alignment horizontal="right"/>
    </xf>
    <xf numFmtId="2" fontId="0" fillId="0" borderId="1" xfId="0" applyNumberFormat="1" applyBorder="1" applyAlignment="1">
      <alignment horizontal="right"/>
    </xf>
    <xf numFmtId="193" fontId="0" fillId="0" borderId="1" xfId="0" applyNumberFormat="1" applyBorder="1" applyAlignment="1">
      <alignment horizontal="right"/>
    </xf>
    <xf numFmtId="0" fontId="0" fillId="0" borderId="1" xfId="0" applyBorder="1" applyAlignment="1">
      <alignment horizontal="right"/>
    </xf>
    <xf numFmtId="0" fontId="0" fillId="0" borderId="12" xfId="0" applyBorder="1" applyAlignment="1">
      <alignment horizontal="left"/>
    </xf>
    <xf numFmtId="0" fontId="0" fillId="0" borderId="11" xfId="0" applyBorder="1" applyAlignment="1">
      <alignment/>
    </xf>
    <xf numFmtId="0" fontId="5" fillId="0" borderId="0" xfId="0" applyFont="1" applyBorder="1" applyAlignment="1">
      <alignment horizontal="right"/>
    </xf>
    <xf numFmtId="0" fontId="5" fillId="0" borderId="1" xfId="0" applyFont="1" applyBorder="1" applyAlignment="1">
      <alignment horizontal="right"/>
    </xf>
    <xf numFmtId="193" fontId="5" fillId="0" borderId="0" xfId="0" applyNumberFormat="1" applyFont="1" applyBorder="1" applyAlignment="1">
      <alignment/>
    </xf>
    <xf numFmtId="193" fontId="0" fillId="0" borderId="4" xfId="0" applyNumberFormat="1" applyBorder="1" applyAlignment="1">
      <alignment/>
    </xf>
    <xf numFmtId="193" fontId="5" fillId="0" borderId="1" xfId="0" applyNumberFormat="1" applyFont="1" applyBorder="1" applyAlignment="1">
      <alignment/>
    </xf>
    <xf numFmtId="193" fontId="0" fillId="0" borderId="8" xfId="0" applyNumberFormat="1" applyBorder="1" applyAlignment="1">
      <alignment/>
    </xf>
    <xf numFmtId="194" fontId="0" fillId="0" borderId="8" xfId="0" applyNumberFormat="1" applyBorder="1" applyAlignment="1">
      <alignment/>
    </xf>
    <xf numFmtId="0" fontId="0" fillId="0" borderId="2" xfId="0" applyBorder="1" applyAlignment="1">
      <alignment/>
    </xf>
    <xf numFmtId="0" fontId="0" fillId="0" borderId="0" xfId="0" applyFill="1" applyBorder="1" applyAlignment="1">
      <alignment/>
    </xf>
    <xf numFmtId="0" fontId="5" fillId="7" borderId="6" xfId="0" applyFont="1" applyFill="1" applyBorder="1" applyAlignment="1">
      <alignment/>
    </xf>
    <xf numFmtId="0" fontId="0" fillId="7"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right"/>
    </xf>
    <xf numFmtId="193" fontId="0" fillId="0" borderId="0" xfId="0" applyNumberFormat="1" applyFill="1" applyBorder="1" applyAlignment="1">
      <alignment/>
    </xf>
    <xf numFmtId="0" fontId="5" fillId="0" borderId="0" xfId="0" applyFont="1" applyFill="1" applyBorder="1" applyAlignment="1">
      <alignment/>
    </xf>
    <xf numFmtId="193" fontId="5" fillId="0" borderId="0" xfId="0" applyNumberFormat="1" applyFont="1" applyFill="1" applyBorder="1" applyAlignment="1">
      <alignment/>
    </xf>
    <xf numFmtId="193" fontId="0" fillId="0" borderId="4" xfId="0" applyNumberFormat="1" applyFill="1" applyBorder="1" applyAlignment="1">
      <alignment/>
    </xf>
    <xf numFmtId="0" fontId="0" fillId="8" borderId="0" xfId="0" applyFill="1" applyBorder="1" applyAlignment="1">
      <alignment/>
    </xf>
    <xf numFmtId="0" fontId="0" fillId="9" borderId="0" xfId="0" applyFill="1" applyBorder="1" applyAlignment="1">
      <alignment/>
    </xf>
    <xf numFmtId="0" fontId="0" fillId="9" borderId="0" xfId="0" applyFill="1" applyBorder="1" applyAlignment="1">
      <alignment horizontal="center"/>
    </xf>
    <xf numFmtId="0" fontId="5" fillId="9" borderId="0" xfId="0" applyFont="1" applyFill="1" applyAlignment="1">
      <alignment horizontal="center"/>
    </xf>
    <xf numFmtId="0" fontId="5" fillId="9" borderId="0" xfId="0" applyFont="1" applyFill="1" applyBorder="1" applyAlignment="1">
      <alignment horizontal="center"/>
    </xf>
    <xf numFmtId="2" fontId="0" fillId="9" borderId="0" xfId="0" applyNumberFormat="1" applyFill="1" applyAlignment="1">
      <alignment/>
    </xf>
    <xf numFmtId="0" fontId="0" fillId="9" borderId="0" xfId="0" applyFill="1" applyAlignment="1">
      <alignment/>
    </xf>
    <xf numFmtId="194" fontId="0" fillId="9" borderId="0" xfId="0" applyNumberFormat="1" applyFill="1" applyBorder="1" applyAlignment="1">
      <alignment/>
    </xf>
    <xf numFmtId="0" fontId="5" fillId="9" borderId="0" xfId="0" applyFont="1" applyFill="1" applyAlignment="1">
      <alignment/>
    </xf>
    <xf numFmtId="0" fontId="0" fillId="9" borderId="0" xfId="0" applyFill="1" applyAlignment="1">
      <alignment horizontal="center"/>
    </xf>
    <xf numFmtId="0" fontId="0" fillId="9" borderId="0" xfId="0" applyFill="1" applyBorder="1" applyAlignment="1" applyProtection="1">
      <alignment/>
      <protection locked="0"/>
    </xf>
    <xf numFmtId="0" fontId="0" fillId="9" borderId="0" xfId="0" applyFill="1" applyBorder="1" applyAlignment="1" applyProtection="1">
      <alignment horizontal="center"/>
      <protection locked="0"/>
    </xf>
    <xf numFmtId="2" fontId="0" fillId="9" borderId="0" xfId="0" applyNumberFormat="1" applyFill="1" applyBorder="1" applyAlignment="1">
      <alignment/>
    </xf>
    <xf numFmtId="0" fontId="0" fillId="9" borderId="0" xfId="0" applyFill="1" applyAlignment="1">
      <alignment horizontal="right"/>
    </xf>
    <xf numFmtId="0" fontId="0" fillId="9" borderId="0" xfId="0" applyNumberFormat="1" applyFill="1" applyAlignment="1">
      <alignment/>
    </xf>
    <xf numFmtId="192" fontId="0" fillId="9" borderId="0" xfId="0" applyNumberFormat="1" applyFill="1" applyAlignment="1">
      <alignment/>
    </xf>
    <xf numFmtId="0" fontId="0" fillId="9" borderId="1" xfId="0" applyFill="1" applyBorder="1" applyAlignment="1">
      <alignment/>
    </xf>
    <xf numFmtId="0" fontId="5" fillId="0" borderId="0" xfId="0" applyFont="1" applyAlignment="1">
      <alignment/>
    </xf>
    <xf numFmtId="2" fontId="0" fillId="0" borderId="0" xfId="0" applyNumberFormat="1" applyFill="1" applyBorder="1" applyAlignment="1" applyProtection="1">
      <alignment/>
      <protection locked="0"/>
    </xf>
    <xf numFmtId="0" fontId="5" fillId="0" borderId="0" xfId="0" applyFont="1" applyFill="1" applyAlignment="1">
      <alignment/>
    </xf>
    <xf numFmtId="192" fontId="0" fillId="10" borderId="0" xfId="0" applyNumberFormat="1" applyFill="1" applyBorder="1" applyAlignment="1" applyProtection="1">
      <alignment/>
      <protection locked="0"/>
    </xf>
    <xf numFmtId="0" fontId="5" fillId="9" borderId="0" xfId="0" applyFont="1" applyFill="1" applyBorder="1" applyAlignment="1">
      <alignment/>
    </xf>
    <xf numFmtId="2" fontId="0" fillId="9" borderId="0" xfId="0" applyNumberFormat="1" applyFill="1" applyBorder="1" applyAlignment="1" applyProtection="1">
      <alignment/>
      <protection locked="0"/>
    </xf>
    <xf numFmtId="1" fontId="0" fillId="9" borderId="0" xfId="0" applyNumberFormat="1" applyFill="1" applyBorder="1" applyAlignment="1" applyProtection="1">
      <alignment/>
      <protection locked="0"/>
    </xf>
    <xf numFmtId="0" fontId="5" fillId="0" borderId="0" xfId="0" applyFont="1" applyBorder="1" applyAlignment="1">
      <alignment horizontal="center"/>
    </xf>
    <xf numFmtId="2" fontId="0" fillId="11" borderId="2" xfId="0" applyNumberFormat="1" applyFill="1" applyBorder="1" applyAlignment="1">
      <alignment/>
    </xf>
    <xf numFmtId="2" fontId="0" fillId="11" borderId="3" xfId="0" applyNumberFormat="1" applyFill="1" applyBorder="1" applyAlignment="1">
      <alignment/>
    </xf>
    <xf numFmtId="2" fontId="0" fillId="11" borderId="0" xfId="0" applyNumberFormat="1" applyFill="1" applyBorder="1" applyAlignment="1">
      <alignment/>
    </xf>
    <xf numFmtId="2" fontId="0" fillId="11" borderId="4" xfId="0" applyNumberFormat="1" applyFill="1" applyBorder="1" applyAlignment="1">
      <alignment/>
    </xf>
    <xf numFmtId="2" fontId="0" fillId="11" borderId="1" xfId="0" applyNumberFormat="1" applyFill="1" applyBorder="1" applyAlignment="1">
      <alignment/>
    </xf>
    <xf numFmtId="2" fontId="0" fillId="11" borderId="8" xfId="0" applyNumberFormat="1" applyFill="1" applyBorder="1" applyAlignment="1">
      <alignment/>
    </xf>
    <xf numFmtId="194" fontId="0" fillId="11" borderId="2" xfId="0" applyNumberFormat="1" applyFill="1" applyBorder="1" applyAlignment="1">
      <alignment/>
    </xf>
    <xf numFmtId="194" fontId="0" fillId="11" borderId="3" xfId="0" applyNumberFormat="1" applyFill="1" applyBorder="1" applyAlignment="1">
      <alignment/>
    </xf>
    <xf numFmtId="194" fontId="0" fillId="11" borderId="0" xfId="0" applyNumberFormat="1" applyFill="1" applyBorder="1" applyAlignment="1">
      <alignment/>
    </xf>
    <xf numFmtId="194" fontId="0" fillId="11" borderId="4" xfId="0" applyNumberFormat="1" applyFill="1" applyBorder="1" applyAlignment="1">
      <alignment/>
    </xf>
    <xf numFmtId="194" fontId="0" fillId="11" borderId="0" xfId="0" applyNumberFormat="1" applyFill="1" applyBorder="1" applyAlignment="1">
      <alignment horizontal="right"/>
    </xf>
    <xf numFmtId="194" fontId="0" fillId="11" borderId="4" xfId="0" applyNumberFormat="1" applyFill="1" applyBorder="1" applyAlignment="1">
      <alignment horizontal="right"/>
    </xf>
    <xf numFmtId="194" fontId="0" fillId="11" borderId="12" xfId="0" applyNumberFormat="1" applyFill="1" applyBorder="1" applyAlignment="1">
      <alignment/>
    </xf>
    <xf numFmtId="194" fontId="0" fillId="11" borderId="13" xfId="0" applyNumberFormat="1" applyFill="1" applyBorder="1" applyAlignment="1">
      <alignment/>
    </xf>
    <xf numFmtId="0" fontId="0" fillId="11" borderId="1" xfId="0" applyFill="1" applyBorder="1" applyAlignment="1">
      <alignment/>
    </xf>
    <xf numFmtId="0" fontId="0" fillId="11" borderId="2" xfId="0" applyFill="1" applyBorder="1" applyAlignment="1">
      <alignment/>
    </xf>
    <xf numFmtId="1" fontId="0" fillId="11" borderId="0" xfId="0" applyNumberFormat="1" applyFill="1" applyBorder="1" applyAlignment="1">
      <alignment/>
    </xf>
    <xf numFmtId="0" fontId="0" fillId="11" borderId="0" xfId="0" applyFill="1" applyBorder="1" applyAlignment="1">
      <alignment/>
    </xf>
    <xf numFmtId="1" fontId="0" fillId="11" borderId="4" xfId="0" applyNumberFormat="1" applyFill="1" applyBorder="1" applyAlignment="1">
      <alignment/>
    </xf>
    <xf numFmtId="2" fontId="0" fillId="11" borderId="14" xfId="0" applyNumberFormat="1" applyFill="1" applyBorder="1" applyAlignment="1">
      <alignment/>
    </xf>
    <xf numFmtId="2" fontId="0" fillId="11" borderId="15" xfId="0" applyNumberFormat="1" applyFill="1" applyBorder="1" applyAlignment="1">
      <alignment/>
    </xf>
    <xf numFmtId="2" fontId="0" fillId="11" borderId="10" xfId="0" applyNumberFormat="1" applyFill="1" applyBorder="1" applyAlignment="1">
      <alignment/>
    </xf>
    <xf numFmtId="192" fontId="0" fillId="11" borderId="8" xfId="0" applyNumberFormat="1" applyFill="1" applyBorder="1" applyAlignment="1">
      <alignment/>
    </xf>
    <xf numFmtId="0" fontId="7" fillId="8" borderId="6" xfId="0" applyNumberFormat="1" applyFont="1" applyFill="1" applyBorder="1" applyAlignment="1">
      <alignment/>
    </xf>
    <xf numFmtId="2" fontId="0" fillId="8" borderId="4" xfId="0" applyNumberFormat="1" applyFill="1" applyBorder="1" applyAlignment="1">
      <alignment/>
    </xf>
    <xf numFmtId="0" fontId="6" fillId="12" borderId="7" xfId="0" applyNumberFormat="1" applyFont="1" applyFill="1" applyBorder="1" applyAlignment="1">
      <alignment/>
    </xf>
    <xf numFmtId="2" fontId="0" fillId="12" borderId="8" xfId="0" applyNumberFormat="1" applyFill="1" applyBorder="1" applyAlignment="1">
      <alignment/>
    </xf>
    <xf numFmtId="0" fontId="0" fillId="13" borderId="3" xfId="0" applyFill="1" applyBorder="1" applyAlignment="1" applyProtection="1">
      <alignment horizontal="right"/>
      <protection locked="0"/>
    </xf>
    <xf numFmtId="0" fontId="0" fillId="13" borderId="8" xfId="0" applyNumberFormat="1" applyFill="1" applyBorder="1" applyAlignment="1" applyProtection="1">
      <alignment/>
      <protection locked="0"/>
    </xf>
    <xf numFmtId="2" fontId="0" fillId="14" borderId="0" xfId="0" applyNumberFormat="1" applyFill="1" applyBorder="1" applyAlignment="1" applyProtection="1">
      <alignment/>
      <protection locked="0"/>
    </xf>
    <xf numFmtId="2" fontId="0" fillId="15" borderId="0" xfId="0" applyNumberFormat="1" applyFill="1" applyBorder="1" applyAlignment="1" applyProtection="1">
      <alignment/>
      <protection locked="0"/>
    </xf>
    <xf numFmtId="2" fontId="0" fillId="15" borderId="0" xfId="0" applyNumberFormat="1" applyFill="1" applyAlignment="1" applyProtection="1">
      <alignment/>
      <protection locked="0"/>
    </xf>
    <xf numFmtId="1" fontId="0" fillId="15" borderId="0" xfId="0" applyNumberFormat="1" applyFill="1" applyBorder="1" applyAlignment="1" applyProtection="1">
      <alignment/>
      <protection locked="0"/>
    </xf>
    <xf numFmtId="1" fontId="0" fillId="15" borderId="1" xfId="0" applyNumberFormat="1" applyFill="1" applyBorder="1" applyAlignment="1" applyProtection="1">
      <alignment/>
      <protection locked="0"/>
    </xf>
    <xf numFmtId="0" fontId="0" fillId="0" borderId="0" xfId="0" applyAlignment="1">
      <alignment horizontal="left"/>
    </xf>
    <xf numFmtId="0" fontId="0" fillId="8" borderId="0" xfId="0" applyFill="1" applyAlignment="1">
      <alignment/>
    </xf>
  </cellXfs>
  <cellStyles count="4">
    <cellStyle name="Normal" xfId="0"/>
    <cellStyle name="Percent" xfId="15"/>
    <cellStyle name="Currency" xfId="16"/>
    <cellStyle name="Comma"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14</xdr:row>
      <xdr:rowOff>95250</xdr:rowOff>
    </xdr:from>
    <xdr:to>
      <xdr:col>5</xdr:col>
      <xdr:colOff>409575</xdr:colOff>
      <xdr:row>16</xdr:row>
      <xdr:rowOff>9525</xdr:rowOff>
    </xdr:to>
    <xdr:sp>
      <xdr:nvSpPr>
        <xdr:cNvPr id="1" name="Text 3"/>
        <xdr:cNvSpPr txBox="1">
          <a:spLocks noChangeArrowheads="1"/>
        </xdr:cNvSpPr>
      </xdr:nvSpPr>
      <xdr:spPr>
        <a:xfrm>
          <a:off x="1638300" y="1971675"/>
          <a:ext cx="133350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1" i="0" u="none" baseline="0">
              <a:latin typeface="MS Sans Serif"/>
              <a:ea typeface="MS Sans Serif"/>
              <a:cs typeface="MS Sans Serif"/>
            </a:rPr>
            <a:t>Zero values not shown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C68"/>
  <sheetViews>
    <sheetView showGridLines="0" showZeros="0" tabSelected="1" workbookViewId="0" topLeftCell="A1">
      <selection activeCell="K19" sqref="K19"/>
    </sheetView>
  </sheetViews>
  <sheetFormatPr defaultColWidth="9.33203125" defaultRowHeight="10.5"/>
  <cols>
    <col min="1" max="1" width="8.83203125" style="0" customWidth="1"/>
    <col min="2" max="2" width="11.33203125" style="0" customWidth="1"/>
    <col min="3" max="3" width="4.5" style="0" customWidth="1"/>
    <col min="4" max="4" width="1.83203125" style="0" customWidth="1"/>
    <col min="5" max="5" width="18.33203125" style="0" customWidth="1"/>
    <col min="6" max="6" width="9.66015625" style="0" customWidth="1"/>
    <col min="7" max="7" width="1.83203125" style="0" customWidth="1"/>
    <col min="8" max="8" width="13.83203125" style="0" customWidth="1"/>
    <col min="9" max="9" width="1.83203125" style="0" customWidth="1"/>
    <col min="10" max="10" width="14.83203125" style="0" customWidth="1"/>
    <col min="11" max="11" width="12.16015625" style="0" customWidth="1"/>
    <col min="12" max="12" width="11.33203125" style="0" hidden="1" customWidth="1"/>
    <col min="13" max="13" width="11.33203125" style="0" customWidth="1"/>
    <col min="14" max="14" width="10.5" style="0" hidden="1" customWidth="1"/>
    <col min="16" max="16" width="13.5" style="6" customWidth="1"/>
    <col min="17" max="24" width="6.83203125" style="0" customWidth="1"/>
    <col min="25" max="25" width="7" style="0" customWidth="1"/>
    <col min="26" max="26" width="7.16015625" style="0" customWidth="1"/>
    <col min="27" max="29" width="6.83203125" style="0" customWidth="1"/>
    <col min="30" max="30" width="7.5" style="0" customWidth="1"/>
    <col min="31" max="31" width="7.33203125" style="0" customWidth="1"/>
    <col min="32" max="33" width="6.83203125" style="0" customWidth="1"/>
    <col min="34" max="34" width="8" style="0" customWidth="1"/>
    <col min="35" max="35" width="6.83203125" style="0" customWidth="1"/>
    <col min="36" max="36" width="7.5" style="0" customWidth="1"/>
    <col min="37" max="37" width="11.5" style="0" customWidth="1"/>
    <col min="38" max="43" width="6.83203125" style="0" customWidth="1"/>
    <col min="44" max="44" width="6.5" style="0" customWidth="1"/>
    <col min="45" max="47" width="6.83203125" style="0" customWidth="1"/>
    <col min="48" max="48" width="10.66015625" style="0" customWidth="1"/>
    <col min="49" max="51" width="7.5" style="0" customWidth="1"/>
    <col min="52" max="52" width="9.66015625" style="0" customWidth="1"/>
    <col min="53" max="53" width="7.5" style="0" customWidth="1"/>
    <col min="54" max="16384" width="6.83203125" style="0" customWidth="1"/>
  </cols>
  <sheetData>
    <row r="1" spans="1:16" ht="11.25" thickBot="1">
      <c r="A1" s="13" t="s">
        <v>180</v>
      </c>
      <c r="B1" s="149"/>
      <c r="F1" t="s">
        <v>0</v>
      </c>
      <c r="H1" s="52">
        <f ca="1">NOW()</f>
        <v>39337.10489780093</v>
      </c>
      <c r="M1" s="48" t="s">
        <v>1</v>
      </c>
      <c r="O1" s="91"/>
      <c r="P1" s="107" t="s">
        <v>169</v>
      </c>
    </row>
    <row r="2" spans="1:54" ht="10.5">
      <c r="A2" s="18" t="s">
        <v>2</v>
      </c>
      <c r="B2" s="25"/>
      <c r="C2" s="41"/>
      <c r="D2" s="41"/>
      <c r="E2" s="40"/>
      <c r="F2" s="40"/>
      <c r="G2" s="40"/>
      <c r="H2" s="40"/>
      <c r="I2" s="40"/>
      <c r="J2" s="40"/>
      <c r="K2" s="40"/>
      <c r="L2" s="40"/>
      <c r="M2" s="40"/>
      <c r="N2" s="2"/>
      <c r="O2" s="92"/>
      <c r="P2"/>
      <c r="Q2" s="2"/>
      <c r="R2" s="2"/>
      <c r="AU2" s="8"/>
      <c r="AV2" s="8"/>
      <c r="AW2" s="7" t="s">
        <v>3</v>
      </c>
      <c r="AX2" s="7"/>
      <c r="AY2" s="7"/>
      <c r="AZ2" s="7"/>
      <c r="BA2" s="7"/>
      <c r="BB2" s="7"/>
    </row>
    <row r="3" spans="1:54" ht="10.5">
      <c r="A3" s="98"/>
      <c r="B3" s="99"/>
      <c r="C3" s="96"/>
      <c r="D3" s="100"/>
      <c r="E3" s="101"/>
      <c r="F3" s="101"/>
      <c r="G3" s="101"/>
      <c r="H3" s="101"/>
      <c r="I3" s="101"/>
      <c r="J3" s="101"/>
      <c r="K3" s="101"/>
      <c r="L3" s="101"/>
      <c r="M3" s="101"/>
      <c r="N3" s="15"/>
      <c r="O3" s="93"/>
      <c r="P3" s="42"/>
      <c r="Q3" s="2" t="s">
        <v>4</v>
      </c>
      <c r="R3" s="31" t="s">
        <v>5</v>
      </c>
      <c r="S3" s="7"/>
      <c r="T3" s="7"/>
      <c r="U3" s="7"/>
      <c r="V3" s="7"/>
      <c r="W3" s="7"/>
      <c r="X3" s="7"/>
      <c r="Y3" s="7"/>
      <c r="Z3" s="7"/>
      <c r="AA3" s="7"/>
      <c r="AB3" s="7"/>
      <c r="AC3" s="7"/>
      <c r="AD3" s="7"/>
      <c r="AE3" s="7"/>
      <c r="AF3" s="7"/>
      <c r="AG3" s="7"/>
      <c r="AH3" s="7"/>
      <c r="AI3" s="7"/>
      <c r="AJ3" s="7"/>
      <c r="AK3" s="7" t="s">
        <v>6</v>
      </c>
      <c r="AL3" s="7"/>
      <c r="AM3" s="7"/>
      <c r="AN3" s="7"/>
      <c r="AO3" s="7"/>
      <c r="AP3" s="7"/>
      <c r="AQ3" s="7"/>
      <c r="AR3" s="7"/>
      <c r="AS3" s="7"/>
      <c r="AT3" s="7"/>
      <c r="AU3" s="2" t="s">
        <v>4</v>
      </c>
      <c r="AW3" s="2" t="s">
        <v>7</v>
      </c>
      <c r="AX3" s="15" t="s">
        <v>8</v>
      </c>
      <c r="AY3" s="2" t="s">
        <v>9</v>
      </c>
      <c r="AZ3" s="2" t="s">
        <v>10</v>
      </c>
      <c r="BA3" s="15" t="s">
        <v>11</v>
      </c>
      <c r="BB3" t="s">
        <v>12</v>
      </c>
    </row>
    <row r="4" spans="2:54" ht="10.5">
      <c r="B4" s="15" t="s">
        <v>13</v>
      </c>
      <c r="C4" s="13"/>
      <c r="D4" s="98"/>
      <c r="E4" s="15" t="s">
        <v>177</v>
      </c>
      <c r="F4" s="15"/>
      <c r="G4" s="93"/>
      <c r="H4" s="15" t="s">
        <v>176</v>
      </c>
      <c r="I4" s="93"/>
      <c r="J4" s="16" t="s">
        <v>14</v>
      </c>
      <c r="K4" s="15" t="s">
        <v>15</v>
      </c>
      <c r="L4" s="15"/>
      <c r="M4" s="15" t="s">
        <v>16</v>
      </c>
      <c r="N4" s="17"/>
      <c r="O4" s="94"/>
      <c r="P4" s="42"/>
      <c r="Q4" s="25" t="s">
        <v>17</v>
      </c>
      <c r="R4" s="25">
        <v>1</v>
      </c>
      <c r="S4" s="25">
        <v>2</v>
      </c>
      <c r="T4" s="25" t="s">
        <v>18</v>
      </c>
      <c r="U4" s="25" t="s">
        <v>19</v>
      </c>
      <c r="V4" s="25" t="s">
        <v>20</v>
      </c>
      <c r="W4" s="25" t="s">
        <v>21</v>
      </c>
      <c r="X4" s="25" t="s">
        <v>22</v>
      </c>
      <c r="Y4" s="25" t="s">
        <v>23</v>
      </c>
      <c r="Z4" s="25" t="s">
        <v>24</v>
      </c>
      <c r="AA4" s="25" t="s">
        <v>25</v>
      </c>
      <c r="AB4" s="25" t="s">
        <v>26</v>
      </c>
      <c r="AC4" s="25" t="s">
        <v>27</v>
      </c>
      <c r="AD4" s="25" t="s">
        <v>28</v>
      </c>
      <c r="AE4" s="25" t="s">
        <v>29</v>
      </c>
      <c r="AF4" s="26" t="s">
        <v>30</v>
      </c>
      <c r="AG4" s="25" t="s">
        <v>31</v>
      </c>
      <c r="AH4" s="25" t="s">
        <v>32</v>
      </c>
      <c r="AI4" s="25">
        <v>6</v>
      </c>
      <c r="AJ4" s="25" t="s">
        <v>33</v>
      </c>
      <c r="AK4" s="7"/>
      <c r="AL4" s="25" t="s">
        <v>34</v>
      </c>
      <c r="AM4" s="25" t="s">
        <v>35</v>
      </c>
      <c r="AN4" s="25" t="s">
        <v>36</v>
      </c>
      <c r="AO4" s="25" t="s">
        <v>37</v>
      </c>
      <c r="AP4" s="25" t="s">
        <v>38</v>
      </c>
      <c r="AQ4" s="25" t="s">
        <v>39</v>
      </c>
      <c r="AR4" s="25" t="s">
        <v>40</v>
      </c>
      <c r="AS4" s="25" t="s">
        <v>41</v>
      </c>
      <c r="AT4" s="25" t="s">
        <v>42</v>
      </c>
      <c r="AU4" s="25" t="s">
        <v>43</v>
      </c>
      <c r="AV4" s="7"/>
      <c r="AW4" s="25" t="s">
        <v>44</v>
      </c>
      <c r="AX4" s="17" t="s">
        <v>45</v>
      </c>
      <c r="AY4" s="25" t="s">
        <v>46</v>
      </c>
      <c r="AZ4" s="25" t="s">
        <v>47</v>
      </c>
      <c r="BA4" s="17" t="s">
        <v>45</v>
      </c>
      <c r="BB4" s="7" t="s">
        <v>46</v>
      </c>
    </row>
    <row r="5" spans="1:54" ht="10.5">
      <c r="A5" s="37"/>
      <c r="B5" s="17" t="s">
        <v>48</v>
      </c>
      <c r="C5" s="18"/>
      <c r="D5" s="98"/>
      <c r="E5" s="17" t="s">
        <v>49</v>
      </c>
      <c r="G5" s="93"/>
      <c r="H5" s="114" t="s">
        <v>48</v>
      </c>
      <c r="I5" s="93"/>
      <c r="J5" s="19" t="s">
        <v>44</v>
      </c>
      <c r="K5" s="17" t="s">
        <v>45</v>
      </c>
      <c r="L5" s="17"/>
      <c r="M5" s="17" t="s">
        <v>45</v>
      </c>
      <c r="N5" s="1" t="b">
        <f aca="true" t="shared" si="0" ref="N5:N35">IF(M6&gt;-0.00499999999,TRUE,FALSE)</f>
        <v>1</v>
      </c>
      <c r="O5" s="95"/>
      <c r="P5" s="43" t="s">
        <v>50</v>
      </c>
      <c r="Q5" s="1">
        <v>60.0843</v>
      </c>
      <c r="R5">
        <f aca="true" t="shared" si="1" ref="R5:R25">H6/Q5</f>
        <v>0.6748851197400985</v>
      </c>
      <c r="S5">
        <f aca="true" t="shared" si="2" ref="S5:AA5">R5</f>
        <v>0.6748851197400985</v>
      </c>
      <c r="T5">
        <f t="shared" si="2"/>
        <v>0.6748851197400985</v>
      </c>
      <c r="U5">
        <f t="shared" si="2"/>
        <v>0.6748851197400985</v>
      </c>
      <c r="V5">
        <f t="shared" si="2"/>
        <v>0.6748851197400985</v>
      </c>
      <c r="W5">
        <f t="shared" si="2"/>
        <v>0.6748851197400985</v>
      </c>
      <c r="X5">
        <f t="shared" si="2"/>
        <v>0.6748851197400985</v>
      </c>
      <c r="Y5">
        <f t="shared" si="2"/>
        <v>0.6748851197400985</v>
      </c>
      <c r="Z5">
        <f t="shared" si="2"/>
        <v>0.6748851197400985</v>
      </c>
      <c r="AA5">
        <f t="shared" si="2"/>
        <v>0.6748851197400985</v>
      </c>
      <c r="AB5" s="3">
        <f>AA5-AA25</f>
        <v>0.6748851197400985</v>
      </c>
      <c r="AC5" s="6">
        <f>AB5</f>
        <v>0.6748851197400985</v>
      </c>
      <c r="AD5">
        <f>AC5</f>
        <v>0.6748851197400985</v>
      </c>
      <c r="AE5">
        <f>AD5</f>
        <v>0.6748851197400985</v>
      </c>
      <c r="AF5">
        <f>AE5</f>
        <v>0.6748851197400985</v>
      </c>
      <c r="AG5">
        <f>AE5</f>
        <v>0.6748851197400985</v>
      </c>
      <c r="AH5">
        <f>AG5</f>
        <v>0.6748851197400985</v>
      </c>
      <c r="AI5">
        <f>AH5</f>
        <v>0.6748851197400985</v>
      </c>
      <c r="AJ5">
        <f>AI5</f>
        <v>0.6748851197400985</v>
      </c>
      <c r="AL5">
        <f>AJ5-(AL6)-(AL7)-(AL8*2)-(AL12)-(AL9)-(AL10*4)-(AL11*2)-(AL13)-(AL14*6)-(AL15*6)-(AL16)</f>
        <v>-0.18958136996716704</v>
      </c>
      <c r="AM5" s="4">
        <f>IF(AL5&gt;0,AL5,0)</f>
        <v>0</v>
      </c>
      <c r="AN5">
        <f>AL5+AL13-(AN13+AN17)</f>
        <v>0</v>
      </c>
      <c r="AO5">
        <f>AN5+AL12-AO12</f>
        <v>0</v>
      </c>
      <c r="AP5">
        <f>AO5+(6*AL14)-(AP14*6)-(AP19*2)</f>
        <v>0</v>
      </c>
      <c r="AQ5">
        <f>AP5+(AL15*6)-(AQ15*6)-(AQ20*4)</f>
        <v>0</v>
      </c>
      <c r="AR5">
        <f>AQ5+AL16-AR16-AR21</f>
        <v>0</v>
      </c>
      <c r="AS5">
        <f>AR5+(AL11*2)+AN17+AR21-AS21-(AS11*2)-AS17</f>
        <v>0</v>
      </c>
      <c r="AT5">
        <f>AS5+(AQ20*4)-(AT20*4)-(AT22*2)</f>
        <v>0</v>
      </c>
      <c r="AU5" s="4">
        <f>AM5</f>
        <v>0</v>
      </c>
      <c r="AV5" t="s">
        <v>51</v>
      </c>
      <c r="AW5">
        <f>Q5</f>
        <v>60.0843</v>
      </c>
      <c r="AX5">
        <f aca="true" t="shared" si="3" ref="AX5:AX37">AW5*AU5</f>
        <v>0</v>
      </c>
      <c r="AY5" s="1">
        <v>2.65</v>
      </c>
      <c r="AZ5">
        <f aca="true" t="shared" si="4" ref="AZ5:AZ37">AX5/AY5</f>
        <v>0</v>
      </c>
      <c r="BA5">
        <f aca="true" t="shared" si="5" ref="BA5:BA37">AZ5*(100/AZ$38)</f>
        <v>0</v>
      </c>
      <c r="BB5">
        <f aca="true" t="shared" si="6" ref="BB5:BB37">(BA5*AY5)/100</f>
        <v>0</v>
      </c>
    </row>
    <row r="6" spans="1:54" ht="10.5">
      <c r="A6" s="28" t="s">
        <v>50</v>
      </c>
      <c r="B6" s="144">
        <v>40.55</v>
      </c>
      <c r="C6" s="22" t="s">
        <v>52</v>
      </c>
      <c r="D6" s="96"/>
      <c r="E6" s="28" t="s">
        <v>53</v>
      </c>
      <c r="F6" s="142" t="s">
        <v>178</v>
      </c>
      <c r="G6" s="103"/>
      <c r="H6" s="134">
        <f>ROUND(Q47*F$12,2)</f>
        <v>40.55</v>
      </c>
      <c r="I6" s="95"/>
      <c r="J6" s="28" t="s">
        <v>51</v>
      </c>
      <c r="K6" s="115">
        <f>ROUND(AX5,2)</f>
        <v>0</v>
      </c>
      <c r="L6" s="115" t="b">
        <f aca="true" t="shared" si="7" ref="L6:L36">IF(K6&gt;-0.00499999999,TRUE,FALSE)</f>
        <v>1</v>
      </c>
      <c r="M6" s="116">
        <f>ROUND(BA5,2)</f>
        <v>0</v>
      </c>
      <c r="N6" s="1" t="b">
        <f t="shared" si="0"/>
        <v>1</v>
      </c>
      <c r="O6" s="95"/>
      <c r="P6" s="44" t="s">
        <v>54</v>
      </c>
      <c r="Q6" s="1">
        <v>79.8988</v>
      </c>
      <c r="R6">
        <f t="shared" si="1"/>
        <v>0.012640990853429589</v>
      </c>
      <c r="S6">
        <f aca="true" t="shared" si="8" ref="S6:Y8">R6</f>
        <v>0.012640990853429589</v>
      </c>
      <c r="T6">
        <f t="shared" si="8"/>
        <v>0.012640990853429589</v>
      </c>
      <c r="U6">
        <f t="shared" si="8"/>
        <v>0.012640990853429589</v>
      </c>
      <c r="V6">
        <f t="shared" si="8"/>
        <v>0.012640990853429589</v>
      </c>
      <c r="W6">
        <f t="shared" si="8"/>
        <v>0.012640990853429589</v>
      </c>
      <c r="X6">
        <f t="shared" si="8"/>
        <v>0.012640990853429589</v>
      </c>
      <c r="Y6">
        <f t="shared" si="8"/>
        <v>0.012640990853429589</v>
      </c>
      <c r="Z6" s="4">
        <f>IF(Z26="Ilmenite",Y6,IF(Z26="Both",Y9,0))</f>
        <v>0.012640990853429589</v>
      </c>
      <c r="AK6" t="s">
        <v>55</v>
      </c>
      <c r="AL6" s="4">
        <f>AB25</f>
        <v>0</v>
      </c>
      <c r="AU6" s="4">
        <f>AL6</f>
        <v>0</v>
      </c>
      <c r="AV6" t="s">
        <v>55</v>
      </c>
      <c r="AW6">
        <f>Q5+Q25</f>
        <v>183.3031</v>
      </c>
      <c r="AX6">
        <f t="shared" si="3"/>
        <v>0</v>
      </c>
      <c r="AY6" s="1">
        <v>4.56</v>
      </c>
      <c r="AZ6">
        <f t="shared" si="4"/>
        <v>0</v>
      </c>
      <c r="BA6">
        <f t="shared" si="5"/>
        <v>0</v>
      </c>
      <c r="BB6">
        <f t="shared" si="6"/>
        <v>0</v>
      </c>
    </row>
    <row r="7" spans="1:54" ht="10.5">
      <c r="A7" s="29" t="s">
        <v>54</v>
      </c>
      <c r="B7" s="144">
        <v>1.01</v>
      </c>
      <c r="C7" s="24" t="s">
        <v>52</v>
      </c>
      <c r="D7" s="96"/>
      <c r="E7" s="30" t="s">
        <v>56</v>
      </c>
      <c r="F7" s="143">
        <v>0.05</v>
      </c>
      <c r="G7" s="104"/>
      <c r="H7" s="135">
        <f aca="true" t="shared" si="9" ref="H7:H26">ROUND(Q48*F$12,2)</f>
        <v>1.01</v>
      </c>
      <c r="I7" s="95"/>
      <c r="J7" s="29" t="s">
        <v>57</v>
      </c>
      <c r="K7" s="117">
        <f>ROUND(AX8+AX14,2)</f>
        <v>58.17</v>
      </c>
      <c r="L7" s="117" t="b">
        <f t="shared" si="7"/>
        <v>1</v>
      </c>
      <c r="M7" s="118">
        <f>ROUND(BA8+BA14,2)</f>
        <v>65.84</v>
      </c>
      <c r="N7" s="1" t="b">
        <f t="shared" si="0"/>
        <v>1</v>
      </c>
      <c r="O7" s="95"/>
      <c r="P7" s="44" t="s">
        <v>58</v>
      </c>
      <c r="Q7" s="1">
        <v>101.9613</v>
      </c>
      <c r="R7">
        <f t="shared" si="1"/>
        <v>0.2035085861008049</v>
      </c>
      <c r="S7">
        <f t="shared" si="8"/>
        <v>0.2035085861008049</v>
      </c>
      <c r="T7">
        <f t="shared" si="8"/>
        <v>0.2035085861008049</v>
      </c>
      <c r="U7">
        <f t="shared" si="8"/>
        <v>0.2035085861008049</v>
      </c>
      <c r="V7">
        <f t="shared" si="8"/>
        <v>0.2035085861008049</v>
      </c>
      <c r="W7">
        <f t="shared" si="8"/>
        <v>0.2035085861008049</v>
      </c>
      <c r="X7">
        <f t="shared" si="8"/>
        <v>0.2035085861008049</v>
      </c>
      <c r="Y7">
        <f t="shared" si="8"/>
        <v>0.2035085861008049</v>
      </c>
      <c r="Z7">
        <f aca="true" t="shared" si="10" ref="Z7:AB8">Y7</f>
        <v>0.2035085861008049</v>
      </c>
      <c r="AA7">
        <f t="shared" si="10"/>
        <v>0.2035085861008049</v>
      </c>
      <c r="AB7">
        <f t="shared" si="10"/>
        <v>0.2035085861008049</v>
      </c>
      <c r="AC7" s="3">
        <f>AB7-AC14</f>
        <v>0.203083939619001</v>
      </c>
      <c r="AD7" s="3">
        <f>IF(AND(AC7&gt;=AC13,AC7&gt;0),AC7-AC13,0)</f>
        <v>0.1963074398747332</v>
      </c>
      <c r="AE7" s="4">
        <f>IF(AE26="Anorthite",IF(AD12&gt;AD7,0,AD7-AD12),AD7)</f>
        <v>0</v>
      </c>
      <c r="AK7" t="s">
        <v>59</v>
      </c>
      <c r="AL7" s="4">
        <f>AC15</f>
        <v>0</v>
      </c>
      <c r="AU7" s="4">
        <f>AL7</f>
        <v>0</v>
      </c>
      <c r="AV7" t="s">
        <v>59</v>
      </c>
      <c r="AW7">
        <f>Q14+Q5</f>
        <v>154.2803</v>
      </c>
      <c r="AX7">
        <f t="shared" si="3"/>
        <v>0</v>
      </c>
      <c r="AY7" s="1">
        <v>2.5</v>
      </c>
      <c r="AZ7">
        <f t="shared" si="4"/>
        <v>0</v>
      </c>
      <c r="BA7">
        <f t="shared" si="5"/>
        <v>0</v>
      </c>
      <c r="BB7">
        <f t="shared" si="6"/>
        <v>0</v>
      </c>
    </row>
    <row r="8" spans="1:54" ht="10.5">
      <c r="A8" s="29" t="s">
        <v>58</v>
      </c>
      <c r="B8" s="144">
        <v>20.75</v>
      </c>
      <c r="C8" s="24" t="s">
        <v>52</v>
      </c>
      <c r="D8" s="96"/>
      <c r="E8" s="106"/>
      <c r="F8" s="106"/>
      <c r="G8" s="96"/>
      <c r="H8" s="135">
        <f t="shared" si="9"/>
        <v>20.75</v>
      </c>
      <c r="I8" s="95"/>
      <c r="J8" s="29" t="s">
        <v>60</v>
      </c>
      <c r="K8" s="117">
        <f>ROUND(AX15,2)</f>
        <v>0.24</v>
      </c>
      <c r="L8" s="117" t="b">
        <f t="shared" si="7"/>
        <v>1</v>
      </c>
      <c r="M8" s="118">
        <f>ROUND(BA15,2)</f>
        <v>0.29</v>
      </c>
      <c r="N8" s="1" t="b">
        <f t="shared" si="0"/>
        <v>1</v>
      </c>
      <c r="O8" s="95"/>
      <c r="P8" s="44" t="s">
        <v>61</v>
      </c>
      <c r="Q8" s="1">
        <v>159.6922</v>
      </c>
      <c r="R8">
        <f t="shared" si="1"/>
        <v>0.006011564747683355</v>
      </c>
      <c r="S8">
        <f t="shared" si="8"/>
        <v>0.006011564747683355</v>
      </c>
      <c r="T8">
        <f t="shared" si="8"/>
        <v>0.006011564747683355</v>
      </c>
      <c r="U8">
        <f t="shared" si="8"/>
        <v>0.006011564747683355</v>
      </c>
      <c r="V8">
        <f t="shared" si="8"/>
        <v>0.006011564747683355</v>
      </c>
      <c r="W8">
        <f t="shared" si="8"/>
        <v>0.006011564747683355</v>
      </c>
      <c r="X8">
        <f t="shared" si="8"/>
        <v>0.006011564747683355</v>
      </c>
      <c r="Y8">
        <f t="shared" si="8"/>
        <v>0.006011564747683355</v>
      </c>
      <c r="Z8">
        <f t="shared" si="10"/>
        <v>0.006011564747683355</v>
      </c>
      <c r="AA8">
        <f t="shared" si="10"/>
        <v>0.006011564747683355</v>
      </c>
      <c r="AB8">
        <f t="shared" si="10"/>
        <v>0.006011564747683355</v>
      </c>
      <c r="AC8">
        <f aca="true" t="shared" si="11" ref="AC8:AF9">AB8</f>
        <v>0.006011564747683355</v>
      </c>
      <c r="AD8">
        <f t="shared" si="11"/>
        <v>0.006011564747683355</v>
      </c>
      <c r="AE8">
        <f t="shared" si="11"/>
        <v>0.006011564747683355</v>
      </c>
      <c r="AF8">
        <f t="shared" si="11"/>
        <v>0.006011564747683355</v>
      </c>
      <c r="AG8" s="3">
        <f>AF8-AG19</f>
        <v>0.006011564747683355</v>
      </c>
      <c r="AH8" s="4">
        <f>IF(AH26="Magnetite",AG8,IF(AH26="Both",AG9,0))</f>
        <v>0.006011564747683355</v>
      </c>
      <c r="AK8" t="s">
        <v>62</v>
      </c>
      <c r="AL8" s="4">
        <f>AE21</f>
        <v>0.1963074398747332</v>
      </c>
      <c r="AU8" s="4">
        <f>AL8</f>
        <v>0.1963074398747332</v>
      </c>
      <c r="AV8" t="s">
        <v>62</v>
      </c>
      <c r="AW8">
        <f>Q12+Q7+(Q5*2)</f>
        <v>278.2093</v>
      </c>
      <c r="AX8">
        <f t="shared" si="3"/>
        <v>54.61455543234161</v>
      </c>
      <c r="AY8" s="1">
        <v>2.76</v>
      </c>
      <c r="AZ8">
        <f t="shared" si="4"/>
        <v>19.787882403022323</v>
      </c>
      <c r="BA8">
        <f t="shared" si="5"/>
        <v>61.6163649757069</v>
      </c>
      <c r="BB8">
        <f t="shared" si="6"/>
        <v>1.7006116733295105</v>
      </c>
    </row>
    <row r="9" spans="1:54" s="8" customFormat="1" ht="10.5">
      <c r="A9" s="29" t="s">
        <v>61</v>
      </c>
      <c r="B9" s="144">
        <v>0</v>
      </c>
      <c r="C9" s="24" t="s">
        <v>52</v>
      </c>
      <c r="D9" s="96"/>
      <c r="E9" s="35" t="s">
        <v>63</v>
      </c>
      <c r="F9" s="116">
        <f>(B9/1.11134)+B10</f>
        <v>17.24</v>
      </c>
      <c r="G9" s="95"/>
      <c r="H9" s="135">
        <f t="shared" si="9"/>
        <v>0.96</v>
      </c>
      <c r="I9" s="95"/>
      <c r="J9" s="29" t="s">
        <v>64</v>
      </c>
      <c r="K9" s="117">
        <f>ROUND(AX19,2)</f>
        <v>0</v>
      </c>
      <c r="L9" s="117" t="b">
        <f t="shared" si="7"/>
        <v>1</v>
      </c>
      <c r="M9" s="118">
        <f>ROUND(BA19,2)</f>
        <v>0</v>
      </c>
      <c r="N9" s="1" t="b">
        <f t="shared" si="0"/>
        <v>1</v>
      </c>
      <c r="O9" s="95"/>
      <c r="P9" s="44" t="s">
        <v>65</v>
      </c>
      <c r="Q9" s="9">
        <v>71.8464</v>
      </c>
      <c r="R9" s="8">
        <f t="shared" si="1"/>
        <v>0.22798637092463922</v>
      </c>
      <c r="S9" s="8">
        <f>R9+R10+R23</f>
        <v>0.23052381943557984</v>
      </c>
      <c r="T9" s="8">
        <f>S9</f>
        <v>0.23052381943557984</v>
      </c>
      <c r="U9" s="8">
        <f>T9</f>
        <v>0.23052381943557984</v>
      </c>
      <c r="V9" s="8">
        <f>U9</f>
        <v>0.23052381943557984</v>
      </c>
      <c r="W9" s="8">
        <f>V9</f>
        <v>0.23052381943557984</v>
      </c>
      <c r="X9" s="10">
        <f>IF(W9&gt;=(W18*0.5),W9-(W18*0.5),0)</f>
        <v>0.23052381943557984</v>
      </c>
      <c r="Y9" s="10">
        <f>IF(X9&gt;=Y24,X9-Y24,0)</f>
        <v>0.23052381943557984</v>
      </c>
      <c r="Z9" s="10">
        <f>Y9-Z6</f>
        <v>0.21788282858215025</v>
      </c>
      <c r="AA9" s="8">
        <f aca="true" t="shared" si="12" ref="AA9:AB11">Z9</f>
        <v>0.21788282858215025</v>
      </c>
      <c r="AB9" s="8">
        <f t="shared" si="12"/>
        <v>0.21788282858215025</v>
      </c>
      <c r="AC9" s="8">
        <f t="shared" si="11"/>
        <v>0.21788282858215025</v>
      </c>
      <c r="AD9" s="8">
        <f t="shared" si="11"/>
        <v>0.21788282858215025</v>
      </c>
      <c r="AE9" s="8">
        <f t="shared" si="11"/>
        <v>0.21788282858215025</v>
      </c>
      <c r="AF9" s="8">
        <f t="shared" si="11"/>
        <v>0.21788282858215025</v>
      </c>
      <c r="AG9" s="8">
        <f aca="true" t="shared" si="13" ref="AG9:AG14">AF9</f>
        <v>0.21788282858215025</v>
      </c>
      <c r="AH9" s="10">
        <f>AG9-AH8</f>
        <v>0.2118712638344669</v>
      </c>
      <c r="AI9" s="10">
        <f>AH9+AH11</f>
        <v>0.42623991837342545</v>
      </c>
      <c r="AJ9" s="11">
        <f>AI9-AJ12</f>
        <v>0.4238351041454821</v>
      </c>
      <c r="AK9" s="8" t="s">
        <v>66</v>
      </c>
      <c r="AL9" s="12">
        <f>AG20</f>
        <v>0</v>
      </c>
      <c r="AU9" s="12">
        <f>AL9</f>
        <v>0</v>
      </c>
      <c r="AV9" s="8" t="s">
        <v>66</v>
      </c>
      <c r="AW9" s="8">
        <f>Q13+Q5</f>
        <v>122.0632</v>
      </c>
      <c r="AX9" s="8">
        <f t="shared" si="3"/>
        <v>0</v>
      </c>
      <c r="AY9" s="9">
        <v>2.4</v>
      </c>
      <c r="AZ9">
        <f t="shared" si="4"/>
        <v>0</v>
      </c>
      <c r="BA9">
        <f t="shared" si="5"/>
        <v>0</v>
      </c>
      <c r="BB9">
        <f t="shared" si="6"/>
        <v>0</v>
      </c>
    </row>
    <row r="10" spans="1:54" ht="10.5">
      <c r="A10" s="29" t="s">
        <v>65</v>
      </c>
      <c r="B10" s="144">
        <v>17.24</v>
      </c>
      <c r="C10" s="24" t="s">
        <v>52</v>
      </c>
      <c r="D10" s="91"/>
      <c r="E10" s="36" t="s">
        <v>67</v>
      </c>
      <c r="F10" s="118">
        <f>IF(F7&gt;0.00001,F9*F7*1.11134,B9)</f>
        <v>0.95797508</v>
      </c>
      <c r="G10" s="95"/>
      <c r="H10" s="135">
        <f t="shared" si="9"/>
        <v>16.38</v>
      </c>
      <c r="I10" s="102"/>
      <c r="J10" s="29" t="s">
        <v>68</v>
      </c>
      <c r="K10" s="117">
        <f>ROUND(AX20,2)</f>
        <v>0</v>
      </c>
      <c r="L10" s="117" t="b">
        <f t="shared" si="7"/>
        <v>1</v>
      </c>
      <c r="M10" s="118">
        <f>ROUND(BA20,2)</f>
        <v>0</v>
      </c>
      <c r="N10" s="1" t="b">
        <f t="shared" si="0"/>
        <v>1</v>
      </c>
      <c r="O10" s="95"/>
      <c r="P10" s="44" t="s">
        <v>69</v>
      </c>
      <c r="Q10" s="1">
        <v>70.9374</v>
      </c>
      <c r="R10">
        <f t="shared" si="1"/>
        <v>0.002537448510940632</v>
      </c>
      <c r="Z10" s="5">
        <f>IF(Z26="Sphene",Y6,IF(Z26="Both",Y6-Z6,0))</f>
        <v>0</v>
      </c>
      <c r="AA10" s="5">
        <f t="shared" si="12"/>
        <v>0</v>
      </c>
      <c r="AB10" s="5">
        <f t="shared" si="12"/>
        <v>0</v>
      </c>
      <c r="AC10" s="5">
        <f aca="true" t="shared" si="14" ref="AC10:AE11">AB10</f>
        <v>0</v>
      </c>
      <c r="AD10" s="5">
        <f t="shared" si="14"/>
        <v>0</v>
      </c>
      <c r="AE10" s="5">
        <f t="shared" si="14"/>
        <v>0</v>
      </c>
      <c r="AF10" s="5">
        <f>IF(AF26="Sphene",AE10,IF(AF26="Both",AE12,0))</f>
        <v>0</v>
      </c>
      <c r="AG10" s="5">
        <f t="shared" si="13"/>
        <v>0</v>
      </c>
      <c r="AH10" s="5">
        <f>AG10</f>
        <v>0</v>
      </c>
      <c r="AI10" s="5">
        <f>AH10</f>
        <v>0</v>
      </c>
      <c r="AJ10" s="5">
        <f>AI10</f>
        <v>0</v>
      </c>
      <c r="AK10" t="s">
        <v>70</v>
      </c>
      <c r="AL10" s="4">
        <f>AG19</f>
        <v>0</v>
      </c>
      <c r="AU10" s="4">
        <f>AL10</f>
        <v>0</v>
      </c>
      <c r="AV10" t="s">
        <v>70</v>
      </c>
      <c r="AW10">
        <f>Q13+Q8+(Q5*4)</f>
        <v>462.0083</v>
      </c>
      <c r="AX10">
        <f t="shared" si="3"/>
        <v>0</v>
      </c>
      <c r="AY10" s="1">
        <v>3.6</v>
      </c>
      <c r="AZ10">
        <f t="shared" si="4"/>
        <v>0</v>
      </c>
      <c r="BA10">
        <f t="shared" si="5"/>
        <v>0</v>
      </c>
      <c r="BB10">
        <f t="shared" si="6"/>
        <v>0</v>
      </c>
    </row>
    <row r="11" spans="1:54" ht="10.5">
      <c r="A11" s="29" t="s">
        <v>69</v>
      </c>
      <c r="B11" s="144">
        <v>0.18</v>
      </c>
      <c r="C11" s="24" t="s">
        <v>52</v>
      </c>
      <c r="D11" s="96"/>
      <c r="E11" s="36" t="s">
        <v>71</v>
      </c>
      <c r="F11" s="118">
        <f>IF(F7&gt;0.00001,F9*(1-F7),B10)</f>
        <v>16.377999999999997</v>
      </c>
      <c r="G11" s="95"/>
      <c r="H11" s="135">
        <f t="shared" si="9"/>
        <v>0.18</v>
      </c>
      <c r="I11" s="95"/>
      <c r="J11" s="29" t="s">
        <v>72</v>
      </c>
      <c r="K11" s="117">
        <f>ROUND(AX22,2)</f>
        <v>0</v>
      </c>
      <c r="L11" s="117" t="b">
        <f t="shared" si="7"/>
        <v>1</v>
      </c>
      <c r="M11" s="118">
        <f>ROUND(BA22,2)</f>
        <v>0</v>
      </c>
      <c r="N11" s="1" t="b">
        <f t="shared" si="0"/>
        <v>1</v>
      </c>
      <c r="O11" s="95"/>
      <c r="P11" s="44" t="s">
        <v>73</v>
      </c>
      <c r="Q11" s="1">
        <v>40.3044</v>
      </c>
      <c r="R11">
        <f t="shared" si="1"/>
        <v>0.21436865453895854</v>
      </c>
      <c r="S11">
        <f aca="true" t="shared" si="15" ref="S11:X11">R11</f>
        <v>0.21436865453895854</v>
      </c>
      <c r="T11">
        <f t="shared" si="15"/>
        <v>0.21436865453895854</v>
      </c>
      <c r="U11">
        <f t="shared" si="15"/>
        <v>0.21436865453895854</v>
      </c>
      <c r="V11">
        <f t="shared" si="15"/>
        <v>0.21436865453895854</v>
      </c>
      <c r="W11">
        <f t="shared" si="15"/>
        <v>0.21436865453895854</v>
      </c>
      <c r="X11">
        <f t="shared" si="15"/>
        <v>0.21436865453895854</v>
      </c>
      <c r="Y11" s="3">
        <f>X11-Y23</f>
        <v>0.21436865453895854</v>
      </c>
      <c r="Z11">
        <f>Y11</f>
        <v>0.21436865453895854</v>
      </c>
      <c r="AA11">
        <f t="shared" si="12"/>
        <v>0.21436865453895854</v>
      </c>
      <c r="AB11">
        <f t="shared" si="12"/>
        <v>0.21436865453895854</v>
      </c>
      <c r="AC11">
        <f t="shared" si="14"/>
        <v>0.21436865453895854</v>
      </c>
      <c r="AD11">
        <f t="shared" si="14"/>
        <v>0.21436865453895854</v>
      </c>
      <c r="AE11">
        <f t="shared" si="14"/>
        <v>0.21436865453895854</v>
      </c>
      <c r="AF11">
        <f>AE11</f>
        <v>0.21436865453895854</v>
      </c>
      <c r="AG11">
        <f t="shared" si="13"/>
        <v>0.21436865453895854</v>
      </c>
      <c r="AH11">
        <f>AG11</f>
        <v>0.21436865453895854</v>
      </c>
      <c r="AI11" s="3">
        <v>0</v>
      </c>
      <c r="AK11" t="s">
        <v>74</v>
      </c>
      <c r="AL11" s="5">
        <f>AJ12</f>
        <v>0.0024048142279433915</v>
      </c>
      <c r="AS11" s="4">
        <f>IF(AS26="Diopside",AL11,IF(AS26="Both",AL11+AR5,0))</f>
        <v>0.0024048142279433915</v>
      </c>
      <c r="AU11" s="4">
        <f>AS11</f>
        <v>0.0024048142279433915</v>
      </c>
      <c r="AV11" t="s">
        <v>74</v>
      </c>
      <c r="AW11">
        <f>Q12+AI31+(2*Q5)</f>
        <v>232.23099582314381</v>
      </c>
      <c r="AX11">
        <f t="shared" si="3"/>
        <v>0.5584724029249586</v>
      </c>
      <c r="AY11" s="51">
        <f>(AI$30*3.22)+((1-AI$30)*3.56)</f>
        <v>3.389003949650273</v>
      </c>
      <c r="AZ11">
        <f t="shared" si="4"/>
        <v>0.16478954029622478</v>
      </c>
      <c r="BA11">
        <f t="shared" si="5"/>
        <v>0.5131288054107449</v>
      </c>
      <c r="BB11">
        <f t="shared" si="6"/>
        <v>0.01738995548216341</v>
      </c>
    </row>
    <row r="12" spans="1:54" ht="10.5">
      <c r="A12" s="29" t="s">
        <v>73</v>
      </c>
      <c r="B12" s="144">
        <v>8.64</v>
      </c>
      <c r="C12" s="24" t="s">
        <v>52</v>
      </c>
      <c r="D12" s="96"/>
      <c r="E12" s="37" t="s">
        <v>75</v>
      </c>
      <c r="F12" s="137">
        <f>IF(OR(F6="Y",F6="y"),100/Q68,1)</f>
        <v>1</v>
      </c>
      <c r="G12" s="105"/>
      <c r="H12" s="135">
        <f t="shared" si="9"/>
        <v>8.64</v>
      </c>
      <c r="I12" s="95"/>
      <c r="J12" s="29" t="s">
        <v>76</v>
      </c>
      <c r="K12" s="117">
        <f>ROUND(AX34,2)</f>
        <v>0</v>
      </c>
      <c r="L12" s="117" t="b">
        <f t="shared" si="7"/>
        <v>1</v>
      </c>
      <c r="M12" s="118">
        <f>ROUND(BA34,2)</f>
        <v>0</v>
      </c>
      <c r="N12" s="1" t="b">
        <f t="shared" si="0"/>
        <v>1</v>
      </c>
      <c r="O12" s="95"/>
      <c r="P12" s="44" t="s">
        <v>77</v>
      </c>
      <c r="Q12" s="1">
        <v>56.0794</v>
      </c>
      <c r="R12">
        <f t="shared" si="1"/>
        <v>0.19918187427112272</v>
      </c>
      <c r="S12">
        <f>R12+R21</f>
        <v>0.19918187427112272</v>
      </c>
      <c r="T12" s="3">
        <f>IF(S12&gt;=(3.333*S15),S12-(3.333*S15),0)</f>
        <v>0.1987122541026766</v>
      </c>
      <c r="U12">
        <f>T12</f>
        <v>0.1987122541026766</v>
      </c>
      <c r="V12" s="3">
        <f>IF(U12&gt;=(U19/2),U12-(U19/2),0)</f>
        <v>0.1987122541026766</v>
      </c>
      <c r="W12" s="3">
        <f>V12-W17</f>
        <v>0.1987122541026766</v>
      </c>
      <c r="X12">
        <f aca="true" t="shared" si="16" ref="X12:Y14">W12</f>
        <v>0.1987122541026766</v>
      </c>
      <c r="Y12">
        <f t="shared" si="16"/>
        <v>0.1987122541026766</v>
      </c>
      <c r="Z12" s="3">
        <f>Y12</f>
        <v>0.1987122541026766</v>
      </c>
      <c r="AA12" s="3">
        <f>Z12-AA16</f>
        <v>0.1987122541026766</v>
      </c>
      <c r="AB12">
        <f>AA12</f>
        <v>0.1987122541026766</v>
      </c>
      <c r="AC12">
        <f>AB12</f>
        <v>0.1987122541026766</v>
      </c>
      <c r="AD12">
        <f>AC12</f>
        <v>0.1987122541026766</v>
      </c>
      <c r="AE12" s="3">
        <f>IF(AE26="Anorthite",IF(AD7&gt;AD12,0,AD12-AD7),AD12)</f>
        <v>0.0024048142279433915</v>
      </c>
      <c r="AF12" s="3">
        <f>AE12-AF10</f>
        <v>0.0024048142279433915</v>
      </c>
      <c r="AG12">
        <f t="shared" si="13"/>
        <v>0.0024048142279433915</v>
      </c>
      <c r="AH12">
        <f>AG12</f>
        <v>0.0024048142279433915</v>
      </c>
      <c r="AI12">
        <f>AH12</f>
        <v>0.0024048142279433915</v>
      </c>
      <c r="AJ12" s="5">
        <f>IF(AJ26="Diopside",AI12,IF(AJ26="Both",AI9,0))</f>
        <v>0.0024048142279433915</v>
      </c>
      <c r="AK12" t="s">
        <v>78</v>
      </c>
      <c r="AL12" s="5">
        <f>AF10</f>
        <v>0</v>
      </c>
      <c r="AO12" s="4">
        <f>IF(AO26="Sphene",AL12,IF(AO26="Both",AL12+AN5,0))</f>
        <v>0</v>
      </c>
      <c r="AU12" s="4">
        <f>AO12</f>
        <v>0</v>
      </c>
      <c r="AV12" t="s">
        <v>78</v>
      </c>
      <c r="AW12">
        <f>Q12+Q6+Q5</f>
        <v>196.0625</v>
      </c>
      <c r="AX12">
        <f t="shared" si="3"/>
        <v>0</v>
      </c>
      <c r="AY12" s="1">
        <v>3.5</v>
      </c>
      <c r="AZ12">
        <f t="shared" si="4"/>
        <v>0</v>
      </c>
      <c r="BA12">
        <f t="shared" si="5"/>
        <v>0</v>
      </c>
      <c r="BB12">
        <f t="shared" si="6"/>
        <v>0</v>
      </c>
    </row>
    <row r="13" spans="1:54" ht="10.5">
      <c r="A13" s="29" t="s">
        <v>77</v>
      </c>
      <c r="B13" s="144">
        <v>11.17</v>
      </c>
      <c r="C13" s="24" t="s">
        <v>52</v>
      </c>
      <c r="D13" s="96"/>
      <c r="E13" s="96"/>
      <c r="F13" s="96"/>
      <c r="G13" s="95"/>
      <c r="H13" s="135">
        <f t="shared" si="9"/>
        <v>11.17</v>
      </c>
      <c r="I13" s="95"/>
      <c r="J13" s="29" t="s">
        <v>74</v>
      </c>
      <c r="K13" s="117">
        <f>ROUND(AX11,2)</f>
        <v>0.56</v>
      </c>
      <c r="L13" s="117" t="b">
        <f t="shared" si="7"/>
        <v>1</v>
      </c>
      <c r="M13" s="118">
        <f>ROUND(BA11,2)</f>
        <v>0.51</v>
      </c>
      <c r="N13" s="1" t="b">
        <f t="shared" si="0"/>
        <v>1</v>
      </c>
      <c r="O13" s="95"/>
      <c r="P13" s="44" t="s">
        <v>79</v>
      </c>
      <c r="Q13" s="1">
        <v>61.9789</v>
      </c>
      <c r="R13">
        <f t="shared" si="1"/>
        <v>0.006776499744267806</v>
      </c>
      <c r="S13">
        <f>R13</f>
        <v>0.006776499744267806</v>
      </c>
      <c r="T13">
        <f>S13</f>
        <v>0.006776499744267806</v>
      </c>
      <c r="U13" s="3">
        <f>IF(T13&gt;T20,T13-T20,0)</f>
        <v>0.006776499744267806</v>
      </c>
      <c r="V13">
        <f>U13</f>
        <v>0.006776499744267806</v>
      </c>
      <c r="W13" s="3">
        <f>V13-W21</f>
        <v>0.006776499744267806</v>
      </c>
      <c r="X13">
        <f t="shared" si="16"/>
        <v>0.006776499744267806</v>
      </c>
      <c r="Y13">
        <f t="shared" si="16"/>
        <v>0.006776499744267806</v>
      </c>
      <c r="Z13">
        <f>Y13</f>
        <v>0.006776499744267806</v>
      </c>
      <c r="AA13" s="3">
        <f>IF(AA17&gt;Z13,0,Z13-AA17)</f>
        <v>0.006776499744267806</v>
      </c>
      <c r="AB13">
        <f>AA13</f>
        <v>0.006776499744267806</v>
      </c>
      <c r="AC13">
        <f>AB13</f>
        <v>0.006776499744267806</v>
      </c>
      <c r="AD13" s="5">
        <f>IF(AD26="Albite",AC13,IF(AD26="Both",AC7,0))</f>
        <v>0.006776499744267806</v>
      </c>
      <c r="AE13" s="5">
        <f>AD13</f>
        <v>0.006776499744267806</v>
      </c>
      <c r="AF13" s="5">
        <f>AE13</f>
        <v>0.006776499744267806</v>
      </c>
      <c r="AG13" s="5">
        <f t="shared" si="13"/>
        <v>0.006776499744267806</v>
      </c>
      <c r="AH13" s="5">
        <f>AG13</f>
        <v>0.006776499744267806</v>
      </c>
      <c r="AI13" s="5">
        <f>AH13</f>
        <v>0.006776499744267806</v>
      </c>
      <c r="AJ13" s="5">
        <f>AI13</f>
        <v>0.006776499744267806</v>
      </c>
      <c r="AK13" t="s">
        <v>80</v>
      </c>
      <c r="AL13" s="5">
        <f>AJ9</f>
        <v>0.4238351041454821</v>
      </c>
      <c r="AN13" s="4">
        <f>IF(AN26="Hypersthene",AL13,IF(AN26="Both",AL13+(2*AL5),0))</f>
        <v>0.04467236421114801</v>
      </c>
      <c r="AU13" s="4">
        <f>AN13</f>
        <v>0.04467236421114801</v>
      </c>
      <c r="AV13" t="s">
        <v>80</v>
      </c>
      <c r="AW13">
        <f>AI31+Q5</f>
        <v>116.06729582314384</v>
      </c>
      <c r="AX13">
        <f t="shared" si="3"/>
        <v>5.18500051201454</v>
      </c>
      <c r="AY13" s="51">
        <f>(AI$30*3.21)+((1-AI$30)*3.96)</f>
        <v>3.5828028301108956</v>
      </c>
      <c r="AZ13">
        <f t="shared" si="4"/>
        <v>1.4471911399751944</v>
      </c>
      <c r="BA13">
        <f t="shared" si="5"/>
        <v>4.506326430194538</v>
      </c>
      <c r="BB13">
        <f t="shared" si="6"/>
        <v>0.1614527908750452</v>
      </c>
    </row>
    <row r="14" spans="1:54" ht="10.5">
      <c r="A14" s="29" t="s">
        <v>79</v>
      </c>
      <c r="B14" s="144">
        <v>0.42</v>
      </c>
      <c r="C14" s="24" t="s">
        <v>52</v>
      </c>
      <c r="D14" s="96"/>
      <c r="E14" s="95"/>
      <c r="F14" s="95"/>
      <c r="G14" s="95"/>
      <c r="H14" s="135">
        <f t="shared" si="9"/>
        <v>0.42</v>
      </c>
      <c r="I14" s="95"/>
      <c r="J14" s="29" t="s">
        <v>80</v>
      </c>
      <c r="K14" s="117">
        <f>ROUND(AX13,2)</f>
        <v>5.19</v>
      </c>
      <c r="L14" s="117" t="b">
        <f t="shared" si="7"/>
        <v>1</v>
      </c>
      <c r="M14" s="118">
        <f>ROUND(BA13,2)</f>
        <v>4.51</v>
      </c>
      <c r="N14" s="1" t="b">
        <f t="shared" si="0"/>
        <v>1</v>
      </c>
      <c r="O14" s="95"/>
      <c r="P14" s="44" t="s">
        <v>81</v>
      </c>
      <c r="Q14" s="1">
        <v>94.196</v>
      </c>
      <c r="R14">
        <f t="shared" si="1"/>
        <v>0.00042464648180389825</v>
      </c>
      <c r="S14">
        <f>R14+R22</f>
        <v>0.00042464648180389825</v>
      </c>
      <c r="T14">
        <f>S14</f>
        <v>0.00042464648180389825</v>
      </c>
      <c r="U14">
        <f>T14</f>
        <v>0.00042464648180389825</v>
      </c>
      <c r="V14">
        <f>U14</f>
        <v>0.00042464648180389825</v>
      </c>
      <c r="W14">
        <f>V14</f>
        <v>0.00042464648180389825</v>
      </c>
      <c r="X14">
        <f t="shared" si="16"/>
        <v>0.00042464648180389825</v>
      </c>
      <c r="Y14">
        <f t="shared" si="16"/>
        <v>0.00042464648180389825</v>
      </c>
      <c r="Z14">
        <f>Y14</f>
        <v>0.00042464648180389825</v>
      </c>
      <c r="AA14">
        <f>Z14</f>
        <v>0.00042464648180389825</v>
      </c>
      <c r="AB14">
        <f>AA14</f>
        <v>0.00042464648180389825</v>
      </c>
      <c r="AC14" s="5">
        <f>IF(AC26="Orthoclase",AB14,IF(AC26="Both",AB7,0))</f>
        <v>0.00042464648180389825</v>
      </c>
      <c r="AD14" s="5">
        <f>AC14</f>
        <v>0.00042464648180389825</v>
      </c>
      <c r="AE14" s="5">
        <f>AD14</f>
        <v>0.00042464648180389825</v>
      </c>
      <c r="AF14" s="5">
        <f>AE14</f>
        <v>0.00042464648180389825</v>
      </c>
      <c r="AG14" s="5">
        <f t="shared" si="13"/>
        <v>0.00042464648180389825</v>
      </c>
      <c r="AH14" s="5">
        <f>AG14</f>
        <v>0.00042464648180389825</v>
      </c>
      <c r="AI14" s="5">
        <f>AH14</f>
        <v>0.00042464648180389825</v>
      </c>
      <c r="AJ14" s="5">
        <f>AI14</f>
        <v>0.00042464648180389825</v>
      </c>
      <c r="AK14" t="s">
        <v>82</v>
      </c>
      <c r="AL14" s="5">
        <f>AJ13</f>
        <v>0.006776499744267806</v>
      </c>
      <c r="AP14" s="4">
        <f>IF(AP26="Albite",AL14,IF(AP26="Both",AL14+(AO5/4),0))</f>
        <v>0.006776499744267806</v>
      </c>
      <c r="AU14" s="4">
        <f>AP14</f>
        <v>0.006776499744267806</v>
      </c>
      <c r="AV14" t="s">
        <v>82</v>
      </c>
      <c r="AW14">
        <f>Q13+Q7+(Q5*6)</f>
        <v>524.446</v>
      </c>
      <c r="AX14">
        <f t="shared" si="3"/>
        <v>3.5539081848822742</v>
      </c>
      <c r="AY14" s="49">
        <v>2.62</v>
      </c>
      <c r="AZ14">
        <f t="shared" si="4"/>
        <v>1.3564535056802574</v>
      </c>
      <c r="BA14">
        <f t="shared" si="5"/>
        <v>4.2237836558906485</v>
      </c>
      <c r="BB14">
        <f t="shared" si="6"/>
        <v>0.110663131784335</v>
      </c>
    </row>
    <row r="15" spans="1:54" ht="10.5">
      <c r="A15" s="29" t="s">
        <v>81</v>
      </c>
      <c r="B15" s="144">
        <v>0.04</v>
      </c>
      <c r="C15" s="24" t="s">
        <v>52</v>
      </c>
      <c r="D15" s="96"/>
      <c r="E15" s="95"/>
      <c r="F15" s="95"/>
      <c r="G15" s="95"/>
      <c r="H15" s="135">
        <f t="shared" si="9"/>
        <v>0.04</v>
      </c>
      <c r="I15" s="95"/>
      <c r="J15" s="29" t="s">
        <v>83</v>
      </c>
      <c r="K15" s="117">
        <f>ROUND(AX16,2)</f>
        <v>0</v>
      </c>
      <c r="L15" s="117" t="b">
        <f t="shared" si="7"/>
        <v>1</v>
      </c>
      <c r="M15" s="118">
        <f>ROUND(BA16,2)</f>
        <v>0</v>
      </c>
      <c r="N15" s="1" t="b">
        <f t="shared" si="0"/>
        <v>1</v>
      </c>
      <c r="O15" s="95"/>
      <c r="P15" s="44" t="s">
        <v>84</v>
      </c>
      <c r="Q15" s="1">
        <v>141.9445</v>
      </c>
      <c r="R15">
        <f t="shared" si="1"/>
        <v>0.0001409001405478902</v>
      </c>
      <c r="S15">
        <f aca="true" t="shared" si="17" ref="S15:S20">R15</f>
        <v>0.0001409001405478902</v>
      </c>
      <c r="T15" s="4">
        <f>S15/1.5</f>
        <v>9.39334270319268E-05</v>
      </c>
      <c r="AC15" s="4">
        <f>IF(AC26="K2SiO3",AB14,IF(AC26="Both",AB14-AB7,0))</f>
        <v>0</v>
      </c>
      <c r="AK15" t="s">
        <v>60</v>
      </c>
      <c r="AL15" s="5">
        <f>AJ14</f>
        <v>0.00042464648180389825</v>
      </c>
      <c r="AQ15" s="4">
        <f>IF(AQ26="Orthoclase",AL15,IF(AQ26="Both",AL15+(AP5/2),0))</f>
        <v>0.00042464648180389825</v>
      </c>
      <c r="AU15" s="4">
        <f>AQ15</f>
        <v>0.00042464648180389825</v>
      </c>
      <c r="AV15" t="s">
        <v>60</v>
      </c>
      <c r="AW15">
        <f>Q14+Q7+(Q5*6)</f>
        <v>556.6631</v>
      </c>
      <c r="AX15">
        <f t="shared" si="3"/>
        <v>0.2363850269650516</v>
      </c>
      <c r="AY15" s="1">
        <v>2.56</v>
      </c>
      <c r="AZ15">
        <f t="shared" si="4"/>
        <v>0.09233790115822328</v>
      </c>
      <c r="BA15">
        <f t="shared" si="5"/>
        <v>0.2875257545489981</v>
      </c>
      <c r="BB15">
        <f t="shared" si="6"/>
        <v>0.007360659316454351</v>
      </c>
    </row>
    <row r="16" spans="1:54" ht="10.5">
      <c r="A16" s="29" t="s">
        <v>84</v>
      </c>
      <c r="B16" s="144">
        <v>0.02</v>
      </c>
      <c r="C16" s="24" t="s">
        <v>52</v>
      </c>
      <c r="D16" s="96"/>
      <c r="E16" s="96"/>
      <c r="F16" s="95"/>
      <c r="G16" s="95"/>
      <c r="H16" s="135">
        <f t="shared" si="9"/>
        <v>0.02</v>
      </c>
      <c r="I16" s="95"/>
      <c r="J16" s="29" t="s">
        <v>85</v>
      </c>
      <c r="K16" s="117">
        <f>ROUND(AX17,2)</f>
        <v>32.62</v>
      </c>
      <c r="L16" s="117" t="b">
        <f t="shared" si="7"/>
        <v>1</v>
      </c>
      <c r="M16" s="118">
        <f>ROUND(BA17,2)</f>
        <v>26.72</v>
      </c>
      <c r="N16" s="1" t="b">
        <f t="shared" si="0"/>
        <v>1</v>
      </c>
      <c r="O16" s="95"/>
      <c r="P16" s="44" t="s">
        <v>86</v>
      </c>
      <c r="Q16" s="1">
        <v>44.0098</v>
      </c>
      <c r="R16">
        <f t="shared" si="1"/>
        <v>0</v>
      </c>
      <c r="S16">
        <f t="shared" si="17"/>
        <v>0</v>
      </c>
      <c r="T16">
        <f aca="true" t="shared" si="18" ref="T16:Z16">S16</f>
        <v>0</v>
      </c>
      <c r="U16">
        <f t="shared" si="18"/>
        <v>0</v>
      </c>
      <c r="V16">
        <f t="shared" si="18"/>
        <v>0</v>
      </c>
      <c r="W16">
        <f t="shared" si="18"/>
        <v>0</v>
      </c>
      <c r="X16">
        <f t="shared" si="18"/>
        <v>0</v>
      </c>
      <c r="Y16">
        <f t="shared" si="18"/>
        <v>0</v>
      </c>
      <c r="Z16">
        <f t="shared" si="18"/>
        <v>0</v>
      </c>
      <c r="AA16" s="4">
        <f>IF(AA26="Calcite",Z16,IF(AA26="Both",Z12,0))</f>
        <v>0</v>
      </c>
      <c r="AK16" t="s">
        <v>83</v>
      </c>
      <c r="AL16" s="5">
        <f>AJ18</f>
        <v>0</v>
      </c>
      <c r="AR16" s="4">
        <f>IF(AR26="Wollastonite",AL16,IF(AR26="Both",AL16+(2*AQ5),0))</f>
        <v>0</v>
      </c>
      <c r="AU16" s="4">
        <f>AR16</f>
        <v>0</v>
      </c>
      <c r="AV16" t="s">
        <v>83</v>
      </c>
      <c r="AW16">
        <f>Q12+Q5</f>
        <v>116.1637</v>
      </c>
      <c r="AX16">
        <f t="shared" si="3"/>
        <v>0</v>
      </c>
      <c r="AY16" s="1">
        <v>2.86</v>
      </c>
      <c r="AZ16">
        <f t="shared" si="4"/>
        <v>0</v>
      </c>
      <c r="BA16">
        <f t="shared" si="5"/>
        <v>0</v>
      </c>
      <c r="BB16">
        <f t="shared" si="6"/>
        <v>0</v>
      </c>
    </row>
    <row r="17" spans="1:54" ht="10.5">
      <c r="A17" s="29" t="s">
        <v>86</v>
      </c>
      <c r="B17" s="145">
        <v>0</v>
      </c>
      <c r="C17" s="24" t="s">
        <v>52</v>
      </c>
      <c r="D17" s="96"/>
      <c r="E17" s="95"/>
      <c r="F17" s="95"/>
      <c r="G17" s="95"/>
      <c r="H17" s="135">
        <f t="shared" si="9"/>
        <v>0</v>
      </c>
      <c r="I17" s="95"/>
      <c r="J17" s="29" t="s">
        <v>87</v>
      </c>
      <c r="K17" s="117">
        <f>ROUND(AX21,2)</f>
        <v>0</v>
      </c>
      <c r="L17" s="117" t="b">
        <f t="shared" si="7"/>
        <v>1</v>
      </c>
      <c r="M17" s="118">
        <f>ROUND(BA21,2)</f>
        <v>0</v>
      </c>
      <c r="N17" s="1" t="b">
        <f t="shared" si="0"/>
        <v>1</v>
      </c>
      <c r="O17" s="95"/>
      <c r="P17" s="44" t="s">
        <v>88</v>
      </c>
      <c r="Q17" s="1">
        <v>80.0582</v>
      </c>
      <c r="R17">
        <f t="shared" si="1"/>
        <v>0</v>
      </c>
      <c r="S17">
        <f t="shared" si="17"/>
        <v>0</v>
      </c>
      <c r="T17">
        <f aca="true" t="shared" si="19" ref="T17:V18">S17</f>
        <v>0</v>
      </c>
      <c r="U17">
        <f t="shared" si="19"/>
        <v>0</v>
      </c>
      <c r="V17">
        <f t="shared" si="19"/>
        <v>0</v>
      </c>
      <c r="W17" s="4">
        <f>IF(W26="Anhydrite",V17,IF(W26="Both",V12,0))</f>
        <v>0</v>
      </c>
      <c r="AA17" s="4">
        <f>IF(AA26="Na2CO3",Z16,IF(AA26="Both",Z16-AA16,0))</f>
        <v>0</v>
      </c>
      <c r="AK17" t="s">
        <v>85</v>
      </c>
      <c r="AN17" s="5">
        <f>IF(AN26="Olivine",AL13*0.5,IF(AN26="Both",ABS(AL5),0))</f>
        <v>0.18958136996716704</v>
      </c>
      <c r="AS17" s="4">
        <f>(IF(AS26="LarniteOlivine",AL11/2,IF(AS26="Both",(AL11-AS11)/2,0)))+AN17</f>
        <v>0.18958136996716704</v>
      </c>
      <c r="AU17" s="4">
        <f>AS17</f>
        <v>0.18958136996716704</v>
      </c>
      <c r="AV17" t="s">
        <v>85</v>
      </c>
      <c r="AW17">
        <f>(2*AI31)+Q5</f>
        <v>172.05029164628766</v>
      </c>
      <c r="AX17">
        <f t="shared" si="3"/>
        <v>32.61752999355385</v>
      </c>
      <c r="AY17" s="51">
        <f>(AI$30*3.22)+((1-AI$30)*4.39)</f>
        <v>3.8015724149729975</v>
      </c>
      <c r="AZ17">
        <f t="shared" si="4"/>
        <v>8.580010172918286</v>
      </c>
      <c r="BA17">
        <f t="shared" si="5"/>
        <v>26.716807162198638</v>
      </c>
      <c r="BB17">
        <f t="shared" si="6"/>
        <v>1.0156587712396736</v>
      </c>
    </row>
    <row r="18" spans="1:54" ht="10.5">
      <c r="A18" s="29" t="s">
        <v>88</v>
      </c>
      <c r="B18" s="146"/>
      <c r="C18" s="24" t="s">
        <v>52</v>
      </c>
      <c r="D18" s="96"/>
      <c r="E18" s="95"/>
      <c r="F18" s="95"/>
      <c r="G18" s="95"/>
      <c r="H18" s="135">
        <f t="shared" si="9"/>
        <v>0</v>
      </c>
      <c r="I18" s="95"/>
      <c r="J18" s="29" t="s">
        <v>70</v>
      </c>
      <c r="K18" s="117">
        <f>ROUND(AX10,2)</f>
        <v>0</v>
      </c>
      <c r="L18" s="117" t="b">
        <f t="shared" si="7"/>
        <v>1</v>
      </c>
      <c r="M18" s="118">
        <f>ROUND(BA10,2)</f>
        <v>0</v>
      </c>
      <c r="N18" s="1" t="b">
        <f t="shared" si="0"/>
        <v>1</v>
      </c>
      <c r="O18" s="95"/>
      <c r="P18" s="44" t="s">
        <v>89</v>
      </c>
      <c r="Q18" s="1">
        <v>32.06</v>
      </c>
      <c r="R18">
        <f t="shared" si="1"/>
        <v>0</v>
      </c>
      <c r="S18">
        <f t="shared" si="17"/>
        <v>0</v>
      </c>
      <c r="T18">
        <f t="shared" si="19"/>
        <v>0</v>
      </c>
      <c r="U18">
        <f t="shared" si="19"/>
        <v>0</v>
      </c>
      <c r="V18">
        <f t="shared" si="19"/>
        <v>0</v>
      </c>
      <c r="W18">
        <f>V18</f>
        <v>0</v>
      </c>
      <c r="X18" s="4">
        <f>W18*0.5</f>
        <v>0</v>
      </c>
      <c r="AF18" s="4">
        <f>IF(AF26="Rutile",AE10,IF(AF26="Both",AE10-AE12,0))</f>
        <v>0</v>
      </c>
      <c r="AJ18" s="5">
        <f>IF(AJ26="Wollastonite",AI12,IF(AJ26="Both",AI12-AI9,0))</f>
        <v>0</v>
      </c>
      <c r="AK18" t="s">
        <v>90</v>
      </c>
      <c r="AO18" s="4">
        <f>IF(AO26="Perovskite",AL12,IF(AO26="Both",AL12-AO12,0))</f>
        <v>0</v>
      </c>
      <c r="AU18" s="4">
        <f>AO18</f>
        <v>0</v>
      </c>
      <c r="AV18" t="s">
        <v>90</v>
      </c>
      <c r="AW18">
        <f>Q12+Q6</f>
        <v>135.9782</v>
      </c>
      <c r="AX18">
        <f t="shared" si="3"/>
        <v>0</v>
      </c>
      <c r="AY18" s="1">
        <v>4</v>
      </c>
      <c r="AZ18">
        <f t="shared" si="4"/>
        <v>0</v>
      </c>
      <c r="BA18">
        <f t="shared" si="5"/>
        <v>0</v>
      </c>
      <c r="BB18">
        <f t="shared" si="6"/>
        <v>0</v>
      </c>
    </row>
    <row r="19" spans="1:54" ht="10.5">
      <c r="A19" s="29" t="s">
        <v>89</v>
      </c>
      <c r="B19" s="145">
        <v>0</v>
      </c>
      <c r="C19" s="24" t="s">
        <v>52</v>
      </c>
      <c r="D19" s="96"/>
      <c r="E19" s="95"/>
      <c r="F19" s="95"/>
      <c r="G19" s="95"/>
      <c r="H19" s="135">
        <f t="shared" si="9"/>
        <v>0</v>
      </c>
      <c r="I19" s="95"/>
      <c r="J19" s="29" t="s">
        <v>59</v>
      </c>
      <c r="K19" s="117">
        <f>ROUND(AX7,2)</f>
        <v>0</v>
      </c>
      <c r="L19" s="117" t="b">
        <f t="shared" si="7"/>
        <v>1</v>
      </c>
      <c r="M19" s="118">
        <f>ROUND(BA7,2)</f>
        <v>0</v>
      </c>
      <c r="N19" s="1" t="b">
        <f t="shared" si="0"/>
        <v>1</v>
      </c>
      <c r="O19" s="95"/>
      <c r="P19" s="44" t="s">
        <v>91</v>
      </c>
      <c r="Q19" s="1">
        <v>18.9984</v>
      </c>
      <c r="R19">
        <f t="shared" si="1"/>
        <v>0</v>
      </c>
      <c r="S19">
        <f t="shared" si="17"/>
        <v>0</v>
      </c>
      <c r="T19" s="3">
        <f>IF(S19&gt;=T15,S19-T15,0)</f>
        <v>0</v>
      </c>
      <c r="U19">
        <f>T19</f>
        <v>0</v>
      </c>
      <c r="V19" s="4">
        <f>U19/2</f>
        <v>0</v>
      </c>
      <c r="AG19" s="4">
        <f>IF(AG26="Acmite",AF20,IF(AG26="Both",AF8,0))</f>
        <v>0</v>
      </c>
      <c r="AK19" t="s">
        <v>64</v>
      </c>
      <c r="AP19" s="4">
        <f>IF(AP26="Nepheline",AL14,IF(AP26="Both",AL14-AP14,0))</f>
        <v>0</v>
      </c>
      <c r="AU19" s="4">
        <f>AP19</f>
        <v>0</v>
      </c>
      <c r="AV19" t="s">
        <v>64</v>
      </c>
      <c r="AW19">
        <f>Q13+Q7+(Q5*2)</f>
        <v>284.1088</v>
      </c>
      <c r="AX19">
        <f t="shared" si="3"/>
        <v>0</v>
      </c>
      <c r="AY19" s="1">
        <v>2.56</v>
      </c>
      <c r="AZ19">
        <f t="shared" si="4"/>
        <v>0</v>
      </c>
      <c r="BA19">
        <f t="shared" si="5"/>
        <v>0</v>
      </c>
      <c r="BB19">
        <f t="shared" si="6"/>
        <v>0</v>
      </c>
    </row>
    <row r="20" spans="1:54" ht="10.5">
      <c r="A20" s="29" t="s">
        <v>91</v>
      </c>
      <c r="B20" s="145">
        <v>0</v>
      </c>
      <c r="C20" s="24" t="s">
        <v>52</v>
      </c>
      <c r="D20" s="96"/>
      <c r="E20" s="33" t="s">
        <v>92</v>
      </c>
      <c r="F20" s="34"/>
      <c r="G20" s="102"/>
      <c r="H20" s="135">
        <f t="shared" si="9"/>
        <v>0</v>
      </c>
      <c r="I20" s="95"/>
      <c r="J20" s="29" t="s">
        <v>66</v>
      </c>
      <c r="K20" s="117">
        <f>ROUND(AX9,2)</f>
        <v>0</v>
      </c>
      <c r="L20" s="117" t="b">
        <f t="shared" si="7"/>
        <v>1</v>
      </c>
      <c r="M20" s="118">
        <f>ROUND(BA9,2)</f>
        <v>0</v>
      </c>
      <c r="N20" s="1" t="b">
        <f t="shared" si="0"/>
        <v>1</v>
      </c>
      <c r="O20" s="95"/>
      <c r="P20" s="44" t="s">
        <v>93</v>
      </c>
      <c r="Q20" s="1">
        <v>35.453</v>
      </c>
      <c r="R20">
        <f t="shared" si="1"/>
        <v>0</v>
      </c>
      <c r="S20">
        <f t="shared" si="17"/>
        <v>0</v>
      </c>
      <c r="T20">
        <f>S20</f>
        <v>0</v>
      </c>
      <c r="U20" s="4">
        <f>T20</f>
        <v>0</v>
      </c>
      <c r="AD20" s="5">
        <f>IF(AD26="Na2SiO3",AC13,IF(AD26="Both",AC13-AD13,0))</f>
        <v>0</v>
      </c>
      <c r="AE20" s="5">
        <f>AD20</f>
        <v>0</v>
      </c>
      <c r="AF20" s="5">
        <f>AE20</f>
        <v>0</v>
      </c>
      <c r="AG20" s="4">
        <f>IF(AG26="Na2SiO3",AF20,IF(AG26="Both",AF20-AG19,0))</f>
        <v>0</v>
      </c>
      <c r="AK20" t="s">
        <v>68</v>
      </c>
      <c r="AQ20" s="5">
        <f>IF(AQ26="Leucite",AL15,IF(AQ26="Both",AL15-AQ15,0))</f>
        <v>0</v>
      </c>
      <c r="AT20" s="4">
        <f>IF(AT26="Leucite",AQ20,IF(AT26="Both",AQ20+(AS5/2),0))</f>
        <v>0</v>
      </c>
      <c r="AU20" s="4">
        <f>AT20</f>
        <v>0</v>
      </c>
      <c r="AV20" t="s">
        <v>68</v>
      </c>
      <c r="AW20">
        <f>Q14+Q7+(Q5*4)</f>
        <v>436.4945</v>
      </c>
      <c r="AX20">
        <f t="shared" si="3"/>
        <v>0</v>
      </c>
      <c r="AY20" s="1">
        <v>2.49</v>
      </c>
      <c r="AZ20">
        <f t="shared" si="4"/>
        <v>0</v>
      </c>
      <c r="BA20">
        <f t="shared" si="5"/>
        <v>0</v>
      </c>
      <c r="BB20">
        <f t="shared" si="6"/>
        <v>0</v>
      </c>
    </row>
    <row r="21" spans="1:54" ht="10.5">
      <c r="A21" s="29" t="s">
        <v>93</v>
      </c>
      <c r="B21" s="145">
        <v>0</v>
      </c>
      <c r="C21" s="24" t="s">
        <v>52</v>
      </c>
      <c r="D21" s="96"/>
      <c r="E21" s="138" t="str">
        <f>IF(OR(ABS(H27-K37)&gt;0.2,ABS(100-M37)&gt;0.1,AND(L37,F7&gt;=0,F7&lt;=1)),"","Norm seems OK")</f>
        <v>Norm seems OK</v>
      </c>
      <c r="F21" s="139"/>
      <c r="G21" s="102"/>
      <c r="H21" s="135">
        <f t="shared" si="9"/>
        <v>0</v>
      </c>
      <c r="I21" s="95"/>
      <c r="J21" s="29" t="s">
        <v>94</v>
      </c>
      <c r="K21" s="117">
        <f>ROUND(AX35,2)</f>
        <v>0</v>
      </c>
      <c r="L21" s="117" t="b">
        <f t="shared" si="7"/>
        <v>1</v>
      </c>
      <c r="M21" s="118">
        <f>ROUND(BA35,2)</f>
        <v>0</v>
      </c>
      <c r="N21" s="1" t="b">
        <f t="shared" si="0"/>
        <v>1</v>
      </c>
      <c r="O21" s="95"/>
      <c r="P21" s="44" t="s">
        <v>95</v>
      </c>
      <c r="Q21" s="1">
        <v>103.6194</v>
      </c>
      <c r="R21">
        <f t="shared" si="1"/>
        <v>0</v>
      </c>
      <c r="W21" s="4">
        <f>IF(W26="Thenardite",V17,IF(W26="Both",V17-W17,0))</f>
        <v>0</v>
      </c>
      <c r="AE21" s="4">
        <f>IF(AE26="Anorthite",IF(AD7&gt;AD12,AD12,AD7),0)</f>
        <v>0.1963074398747332</v>
      </c>
      <c r="AK21" t="s">
        <v>87</v>
      </c>
      <c r="AR21" s="5">
        <f>IF(AR26="Larnite",AL16/2,IF(AR26="Both",(AL16-AR16)/2,0))</f>
        <v>0</v>
      </c>
      <c r="AS21" s="4">
        <f>(IF(AS26="LarniteOlivine",AL11/2,IF(AS26="Both",(AL11-AS11)/2,0)))+AR21</f>
        <v>0</v>
      </c>
      <c r="AU21" s="4">
        <f>AS21</f>
        <v>0</v>
      </c>
      <c r="AV21" t="s">
        <v>87</v>
      </c>
      <c r="AW21">
        <f>(Q12*2)+Q5</f>
        <v>172.2431</v>
      </c>
      <c r="AX21">
        <f t="shared" si="3"/>
        <v>0</v>
      </c>
      <c r="AY21" s="1">
        <v>3.27</v>
      </c>
      <c r="AZ21">
        <f t="shared" si="4"/>
        <v>0</v>
      </c>
      <c r="BA21">
        <f t="shared" si="5"/>
        <v>0</v>
      </c>
      <c r="BB21">
        <f t="shared" si="6"/>
        <v>0</v>
      </c>
    </row>
    <row r="22" spans="1:54" ht="10.5">
      <c r="A22" s="29" t="s">
        <v>95</v>
      </c>
      <c r="B22" s="147">
        <v>0</v>
      </c>
      <c r="C22" s="24" t="s">
        <v>96</v>
      </c>
      <c r="D22" s="96"/>
      <c r="E22" s="140">
        <f>IF(OR(ABS(H27-K37)&gt;0.2,ABS(100-M37)&gt;0.1,AND(L37,F7&gt;=0,F7&lt;=1)),"Warning! May be a problem!","")</f>
      </c>
      <c r="F22" s="141"/>
      <c r="G22" s="102"/>
      <c r="H22" s="135">
        <f t="shared" si="9"/>
        <v>0</v>
      </c>
      <c r="I22" s="95"/>
      <c r="J22" s="29" t="s">
        <v>97</v>
      </c>
      <c r="K22" s="117">
        <f>ROUND(AX31,2)</f>
        <v>1.92</v>
      </c>
      <c r="L22" s="117" t="b">
        <f t="shared" si="7"/>
        <v>1</v>
      </c>
      <c r="M22" s="118">
        <f>ROUND(BA31,2)</f>
        <v>1.26</v>
      </c>
      <c r="N22" s="1" t="b">
        <f t="shared" si="0"/>
        <v>1</v>
      </c>
      <c r="O22" s="95"/>
      <c r="P22" s="44" t="s">
        <v>98</v>
      </c>
      <c r="Q22" s="1">
        <v>153.3294</v>
      </c>
      <c r="R22">
        <f t="shared" si="1"/>
        <v>0</v>
      </c>
      <c r="AH22" s="4">
        <f>IF(AH26="Hematite",AG8,IF(AH26="Both",AG8-AG9,0))</f>
        <v>0</v>
      </c>
      <c r="AK22" t="s">
        <v>72</v>
      </c>
      <c r="AT22" s="4">
        <f>IF(AT26="Kalsilite",AQ20,IF(AT26="Both",AQ20-AT20,0))</f>
        <v>0</v>
      </c>
      <c r="AU22" s="4">
        <f>AT22</f>
        <v>0</v>
      </c>
      <c r="AV22" t="s">
        <v>72</v>
      </c>
      <c r="AW22">
        <f>Q14+Q7+(Q5*2)</f>
        <v>316.3259</v>
      </c>
      <c r="AX22">
        <f t="shared" si="3"/>
        <v>0</v>
      </c>
      <c r="AY22" s="1">
        <v>2.6</v>
      </c>
      <c r="AZ22">
        <f t="shared" si="4"/>
        <v>0</v>
      </c>
      <c r="BA22">
        <f t="shared" si="5"/>
        <v>0</v>
      </c>
      <c r="BB22">
        <f t="shared" si="6"/>
        <v>0</v>
      </c>
    </row>
    <row r="23" spans="1:54" ht="10.5">
      <c r="A23" s="29" t="s">
        <v>98</v>
      </c>
      <c r="B23" s="147">
        <v>0</v>
      </c>
      <c r="C23" s="24" t="s">
        <v>96</v>
      </c>
      <c r="D23" s="96"/>
      <c r="E23" s="95"/>
      <c r="F23" s="95"/>
      <c r="G23" s="95"/>
      <c r="H23" s="135">
        <f t="shared" si="9"/>
        <v>0</v>
      </c>
      <c r="I23" s="95"/>
      <c r="J23" s="29" t="s">
        <v>99</v>
      </c>
      <c r="K23" s="117">
        <f>ROUND(AX36,2)</f>
        <v>1.39</v>
      </c>
      <c r="L23" s="117" t="b">
        <f t="shared" si="7"/>
        <v>1</v>
      </c>
      <c r="M23" s="118">
        <f>ROUND(BA36,2)</f>
        <v>0.83</v>
      </c>
      <c r="N23" s="1" t="b">
        <f t="shared" si="0"/>
        <v>1</v>
      </c>
      <c r="O23" s="95"/>
      <c r="P23" s="44" t="s">
        <v>100</v>
      </c>
      <c r="Q23" s="1">
        <v>74.6994</v>
      </c>
      <c r="R23">
        <f t="shared" si="1"/>
        <v>0</v>
      </c>
      <c r="Y23" s="4">
        <f>IF(Y26="Magnesiochromite",X24,IF(Y26="Both",X24-Y24,0))</f>
        <v>0</v>
      </c>
      <c r="AU23" s="4">
        <f>T15</f>
        <v>9.39334270319268E-05</v>
      </c>
      <c r="AV23" t="s">
        <v>101</v>
      </c>
      <c r="AW23">
        <f>T29</f>
        <v>493.3138</v>
      </c>
      <c r="AX23">
        <f t="shared" si="3"/>
        <v>0.04633865583614253</v>
      </c>
      <c r="AY23" s="1">
        <v>3.2</v>
      </c>
      <c r="AZ23">
        <f t="shared" si="4"/>
        <v>0.01448082994879454</v>
      </c>
      <c r="BA23">
        <f t="shared" si="5"/>
        <v>0.04509103526609759</v>
      </c>
      <c r="BB23">
        <f t="shared" si="6"/>
        <v>0.001442913128515123</v>
      </c>
    </row>
    <row r="24" spans="1:54" ht="10.5">
      <c r="A24" s="29" t="s">
        <v>100</v>
      </c>
      <c r="B24" s="147">
        <v>0</v>
      </c>
      <c r="C24" s="24" t="s">
        <v>96</v>
      </c>
      <c r="D24" s="96"/>
      <c r="E24" s="95"/>
      <c r="F24" s="95"/>
      <c r="G24" s="95"/>
      <c r="H24" s="135">
        <f t="shared" si="9"/>
        <v>0</v>
      </c>
      <c r="I24" s="95"/>
      <c r="J24" s="29" t="s">
        <v>102</v>
      </c>
      <c r="K24" s="117">
        <f>ROUND(AX37,2)</f>
        <v>0</v>
      </c>
      <c r="L24" s="117" t="b">
        <f t="shared" si="7"/>
        <v>1</v>
      </c>
      <c r="M24" s="118">
        <f>ROUND(BA37,2)</f>
        <v>0</v>
      </c>
      <c r="N24" s="1" t="b">
        <f t="shared" si="0"/>
        <v>1</v>
      </c>
      <c r="O24" s="95"/>
      <c r="P24" s="44" t="s">
        <v>103</v>
      </c>
      <c r="Q24" s="1">
        <v>151.9902</v>
      </c>
      <c r="R24">
        <f t="shared" si="1"/>
        <v>0</v>
      </c>
      <c r="S24">
        <f aca="true" t="shared" si="20" ref="S24:X25">R24</f>
        <v>0</v>
      </c>
      <c r="T24">
        <f t="shared" si="20"/>
        <v>0</v>
      </c>
      <c r="U24">
        <f t="shared" si="20"/>
        <v>0</v>
      </c>
      <c r="V24">
        <f t="shared" si="20"/>
        <v>0</v>
      </c>
      <c r="W24">
        <f t="shared" si="20"/>
        <v>0</v>
      </c>
      <c r="X24">
        <f t="shared" si="20"/>
        <v>0</v>
      </c>
      <c r="Y24" s="4">
        <f>IF(Y26="Chromite",X24,IF(Y26="Both",X9,0))</f>
        <v>0</v>
      </c>
      <c r="AU24" s="4">
        <f>U20</f>
        <v>0</v>
      </c>
      <c r="AV24" t="s">
        <v>104</v>
      </c>
      <c r="AW24">
        <f>(Q13+(Q20*2))/2</f>
        <v>66.44245000000001</v>
      </c>
      <c r="AX24">
        <f t="shared" si="3"/>
        <v>0</v>
      </c>
      <c r="AY24" s="1">
        <v>2.17</v>
      </c>
      <c r="AZ24">
        <f t="shared" si="4"/>
        <v>0</v>
      </c>
      <c r="BA24">
        <f t="shared" si="5"/>
        <v>0</v>
      </c>
      <c r="BB24">
        <f t="shared" si="6"/>
        <v>0</v>
      </c>
    </row>
    <row r="25" spans="1:54" ht="10.5">
      <c r="A25" s="29" t="s">
        <v>103</v>
      </c>
      <c r="B25" s="147">
        <v>0</v>
      </c>
      <c r="C25" s="24" t="s">
        <v>96</v>
      </c>
      <c r="D25" s="96"/>
      <c r="E25" s="95"/>
      <c r="F25" s="95"/>
      <c r="G25" s="95"/>
      <c r="H25" s="135">
        <f t="shared" si="9"/>
        <v>0</v>
      </c>
      <c r="I25" s="95"/>
      <c r="J25" s="29" t="s">
        <v>101</v>
      </c>
      <c r="K25" s="117">
        <f>ROUND(AX23,2)</f>
        <v>0.05</v>
      </c>
      <c r="L25" s="117" t="b">
        <f t="shared" si="7"/>
        <v>1</v>
      </c>
      <c r="M25" s="118">
        <f>ROUND(BA23,2)</f>
        <v>0.05</v>
      </c>
      <c r="N25" s="1" t="b">
        <f t="shared" si="0"/>
        <v>1</v>
      </c>
      <c r="O25" s="95"/>
      <c r="P25" s="45" t="s">
        <v>105</v>
      </c>
      <c r="Q25" s="20">
        <v>123.2188</v>
      </c>
      <c r="R25" s="7">
        <f t="shared" si="1"/>
        <v>0</v>
      </c>
      <c r="S25" s="7">
        <f t="shared" si="20"/>
        <v>0</v>
      </c>
      <c r="T25" s="7">
        <f t="shared" si="20"/>
        <v>0</v>
      </c>
      <c r="U25" s="7">
        <f t="shared" si="20"/>
        <v>0</v>
      </c>
      <c r="V25" s="7">
        <f t="shared" si="20"/>
        <v>0</v>
      </c>
      <c r="W25" s="7">
        <f t="shared" si="20"/>
        <v>0</v>
      </c>
      <c r="X25" s="7">
        <f t="shared" si="20"/>
        <v>0</v>
      </c>
      <c r="Y25" s="7">
        <f>X25</f>
        <v>0</v>
      </c>
      <c r="Z25" s="7">
        <f>Y25</f>
        <v>0</v>
      </c>
      <c r="AA25" s="7">
        <f>Z25</f>
        <v>0</v>
      </c>
      <c r="AB25" s="27">
        <f>AA25</f>
        <v>0</v>
      </c>
      <c r="AC25" s="7"/>
      <c r="AD25" s="7"/>
      <c r="AE25" s="7"/>
      <c r="AF25" s="7"/>
      <c r="AG25" s="7"/>
      <c r="AH25" s="7"/>
      <c r="AI25" s="7"/>
      <c r="AJ25" s="7"/>
      <c r="AK25" s="7"/>
      <c r="AL25" s="7"/>
      <c r="AM25" s="7"/>
      <c r="AN25" s="7"/>
      <c r="AO25" s="7"/>
      <c r="AP25" s="7"/>
      <c r="AQ25" s="7"/>
      <c r="AR25" s="7"/>
      <c r="AS25" s="7"/>
      <c r="AT25" s="7"/>
      <c r="AU25" s="4">
        <f>V19</f>
        <v>0</v>
      </c>
      <c r="AV25" t="s">
        <v>106</v>
      </c>
      <c r="AW25">
        <f>Q12+(Q19*2)</f>
        <v>94.0762</v>
      </c>
      <c r="AX25">
        <f t="shared" si="3"/>
        <v>0</v>
      </c>
      <c r="AY25" s="1">
        <v>3.18</v>
      </c>
      <c r="AZ25">
        <f t="shared" si="4"/>
        <v>0</v>
      </c>
      <c r="BA25">
        <f t="shared" si="5"/>
        <v>0</v>
      </c>
      <c r="BB25">
        <f t="shared" si="6"/>
        <v>0</v>
      </c>
    </row>
    <row r="26" spans="1:54" ht="10.5">
      <c r="A26" s="30" t="s">
        <v>105</v>
      </c>
      <c r="B26" s="148">
        <v>0</v>
      </c>
      <c r="C26" s="38" t="s">
        <v>96</v>
      </c>
      <c r="D26" s="96"/>
      <c r="E26" s="96"/>
      <c r="F26" s="95"/>
      <c r="G26" s="95"/>
      <c r="H26" s="135">
        <f t="shared" si="9"/>
        <v>0</v>
      </c>
      <c r="I26" s="95"/>
      <c r="J26" s="29" t="s">
        <v>55</v>
      </c>
      <c r="K26" s="117">
        <f>ROUND(AX6,2)</f>
        <v>0</v>
      </c>
      <c r="L26" s="117" t="b">
        <f t="shared" si="7"/>
        <v>1</v>
      </c>
      <c r="M26" s="118">
        <f>ROUND(BA6,2)</f>
        <v>0</v>
      </c>
      <c r="N26" s="1" t="b">
        <f t="shared" si="0"/>
        <v>1</v>
      </c>
      <c r="O26" s="95"/>
      <c r="P26" s="3"/>
      <c r="Q26" t="s">
        <v>107</v>
      </c>
      <c r="T26" t="s">
        <v>101</v>
      </c>
      <c r="U26" t="s">
        <v>104</v>
      </c>
      <c r="V26" t="s">
        <v>106</v>
      </c>
      <c r="W26" t="str">
        <f>IF(V17&gt;0,IF(V13&gt;=V17,"Thenardite",IF(V13&gt;0,"Both","Anhydrite")),"None")</f>
        <v>None</v>
      </c>
      <c r="Y26" t="str">
        <f>IF(X24&gt;0,IF(X9&gt;=X24,"Chromite",IF(X9&gt;0,"Both","Magnesiochromite")),"None")</f>
        <v>None</v>
      </c>
      <c r="Z26" t="str">
        <f>IF(Y6&gt;0,IF(Y9&gt;=Y6,"Ilmenite",IF(Y9&gt;0,"Both","Sphene")),"None")</f>
        <v>Ilmenite</v>
      </c>
      <c r="AA26" t="str">
        <f>IF(Z16&gt;0,IF(Z12&gt;=Z16,"Calcite",IF(Z12&gt;0,"Both","Na2CO3")),"None")</f>
        <v>None</v>
      </c>
      <c r="AC26" t="str">
        <f>IF(AB14&gt;0,IF(AB7&gt;=AB14,"Orthoclase",IF(AB7&gt;0,"Both","K2SiO3")),"None")</f>
        <v>Orthoclase</v>
      </c>
      <c r="AD26" t="str">
        <f>IF(AC13&gt;0,IF(AC7&gt;=AC13,"Albite",IF(AC7&gt;0,"Both","Na2SiO3")),"None")</f>
        <v>Albite</v>
      </c>
      <c r="AE26" t="str">
        <f>IF(AD7&gt;0,IF(AD12&gt;0,"Anorthite","None"),"None")</f>
        <v>Anorthite</v>
      </c>
      <c r="AF26" t="str">
        <f>IF(AE10&gt;0,IF(AE12&gt;=AE10,"Sphene",IF(AE12&gt;0,"Both","Rutile")),"None")</f>
        <v>None</v>
      </c>
      <c r="AG26" t="str">
        <f>IF(AND(AF20&gt;0),IF(AF8&gt;=AF20,"Acmite",IF(AF8&gt;0,"Both","Na2SiO3")),"None")</f>
        <v>None</v>
      </c>
      <c r="AH26" t="str">
        <f>IF(AG8&gt;0,IF(AG9&gt;=AG8,"Magnetite",IF(AG9&gt;0,"Both","Hematite")),"None")</f>
        <v>Magnetite</v>
      </c>
      <c r="AJ26" t="str">
        <f>IF(AI12&gt;0,IF(AI9&gt;=AI12,"Diopside",IF(AI9&gt;0,"Both","Wollastonite")),"None")</f>
        <v>Diopside</v>
      </c>
      <c r="AN26" t="str">
        <f>IF(AL13&gt;0,IF(AL5&gt;=0,"Hypersthene",IF(AL13+(2*AL5)&gt;0,"Both","Olivine")),"None")</f>
        <v>Both</v>
      </c>
      <c r="AO26" t="str">
        <f>IF(AL12&gt;0,IF(AN5&gt;=0,"Sphene",IF(AL12+AN5&gt;0,"Both","Perovskite")),"None")</f>
        <v>None</v>
      </c>
      <c r="AP26" t="str">
        <f>IF(AL14&gt;0,IF(AO5&gt;=0,"Albite",IF(AL14+(AO5/4)&gt;0,"Both","Nepheline")),"None")</f>
        <v>Albite</v>
      </c>
      <c r="AQ26" t="str">
        <f>IF(AL15&gt;0,IF(AP5&gt;=0,"Orthoclase",IF(AL15+(AP5/2)&gt;0,"Both","Leucite")),"None")</f>
        <v>Orthoclase</v>
      </c>
      <c r="AR26" t="str">
        <f>IF(AL16&gt;0,IF(AQ5&gt;=0,"Wollastonite",IF(AL16+(AQ5*2)&gt;0,"Both","Larnite")),"None")</f>
        <v>None</v>
      </c>
      <c r="AS26" t="str">
        <f>IF(AL11&gt;0,IF(AR5&gt;=0,"Diopside",IF(AL11+AR5&gt;0,"Both","LarniteOlivine")),"None")</f>
        <v>Diopside</v>
      </c>
      <c r="AT26" t="str">
        <f>IF(AQ20&gt;0,IF(AS5&gt;=0,"Leucite",IF(AQ20+(AS5/2)&gt;0,"Both","Kalsilite")),"None")</f>
        <v>None</v>
      </c>
      <c r="AU26" s="4">
        <f>W17</f>
        <v>0</v>
      </c>
      <c r="AV26" t="s">
        <v>108</v>
      </c>
      <c r="AW26">
        <f>Q12+Q17</f>
        <v>136.1376</v>
      </c>
      <c r="AX26">
        <f t="shared" si="3"/>
        <v>0</v>
      </c>
      <c r="AY26" s="1">
        <v>2.96</v>
      </c>
      <c r="AZ26">
        <f t="shared" si="4"/>
        <v>0</v>
      </c>
      <c r="BA26">
        <f t="shared" si="5"/>
        <v>0</v>
      </c>
      <c r="BB26">
        <f t="shared" si="6"/>
        <v>0</v>
      </c>
    </row>
    <row r="27" spans="1:54" ht="10.5">
      <c r="A27" s="30" t="s">
        <v>109</v>
      </c>
      <c r="B27" s="119">
        <f>SUM(B6:B21)</f>
        <v>100.02000000000001</v>
      </c>
      <c r="C27" s="38"/>
      <c r="D27" s="96"/>
      <c r="E27" s="95"/>
      <c r="F27" s="95"/>
      <c r="G27" s="95"/>
      <c r="H27" s="136">
        <f>SUM(H6:H26)</f>
        <v>100.12</v>
      </c>
      <c r="I27" s="95"/>
      <c r="J27" s="29" t="s">
        <v>90</v>
      </c>
      <c r="K27" s="117">
        <f>ROUND(AX18,2)</f>
        <v>0</v>
      </c>
      <c r="L27" s="117" t="b">
        <f t="shared" si="7"/>
        <v>1</v>
      </c>
      <c r="M27" s="118">
        <f>ROUND(BA18,2)</f>
        <v>0</v>
      </c>
      <c r="N27" s="1" t="b">
        <f t="shared" si="0"/>
        <v>1</v>
      </c>
      <c r="O27" s="95"/>
      <c r="P27" s="4"/>
      <c r="Q27" t="s">
        <v>110</v>
      </c>
      <c r="T27">
        <v>493.3138</v>
      </c>
      <c r="U27" t="s">
        <v>111</v>
      </c>
      <c r="W27" t="s">
        <v>108</v>
      </c>
      <c r="Y27" t="s">
        <v>112</v>
      </c>
      <c r="Z27" t="s">
        <v>97</v>
      </c>
      <c r="AA27" t="s">
        <v>113</v>
      </c>
      <c r="AC27" t="s">
        <v>60</v>
      </c>
      <c r="AD27" t="s">
        <v>82</v>
      </c>
      <c r="AE27" t="s">
        <v>76</v>
      </c>
      <c r="AF27" t="s">
        <v>78</v>
      </c>
      <c r="AG27" t="s">
        <v>70</v>
      </c>
      <c r="AH27" t="s">
        <v>99</v>
      </c>
      <c r="AJ27" t="s">
        <v>80</v>
      </c>
      <c r="AP27">
        <f>IF(AL8=0,0,AL8/(AL8+(AP14*2)))</f>
        <v>0.9354189883064367</v>
      </c>
      <c r="AQ27" t="s">
        <v>114</v>
      </c>
      <c r="AU27" s="4">
        <f>W21</f>
        <v>0</v>
      </c>
      <c r="AV27" t="s">
        <v>115</v>
      </c>
      <c r="AW27">
        <f>Q13+Q17</f>
        <v>142.0371</v>
      </c>
      <c r="AX27">
        <f t="shared" si="3"/>
        <v>0</v>
      </c>
      <c r="AY27" s="1">
        <v>2.68</v>
      </c>
      <c r="AZ27">
        <f t="shared" si="4"/>
        <v>0</v>
      </c>
      <c r="BA27">
        <f t="shared" si="5"/>
        <v>0</v>
      </c>
      <c r="BB27">
        <f t="shared" si="6"/>
        <v>0</v>
      </c>
    </row>
    <row r="28" spans="1:54" ht="10.5">
      <c r="A28" s="96"/>
      <c r="B28" s="96"/>
      <c r="C28" s="96"/>
      <c r="D28" s="96"/>
      <c r="E28" s="103"/>
      <c r="F28" s="103"/>
      <c r="G28" s="103"/>
      <c r="H28" s="96"/>
      <c r="I28" s="96"/>
      <c r="J28" s="29" t="s">
        <v>116</v>
      </c>
      <c r="K28" s="117">
        <f>ROUND(AX30+AX29,2)</f>
        <v>0</v>
      </c>
      <c r="L28" s="117" t="b">
        <f t="shared" si="7"/>
        <v>1</v>
      </c>
      <c r="M28" s="118">
        <f>ROUND(BA30+BA29,2)</f>
        <v>0</v>
      </c>
      <c r="N28" s="1" t="b">
        <f t="shared" si="0"/>
        <v>1</v>
      </c>
      <c r="O28" s="95"/>
      <c r="P28" s="5"/>
      <c r="Q28" t="s">
        <v>117</v>
      </c>
      <c r="T28">
        <v>512.3122</v>
      </c>
      <c r="U28" t="s">
        <v>118</v>
      </c>
      <c r="W28" t="s">
        <v>115</v>
      </c>
      <c r="Y28" t="s">
        <v>116</v>
      </c>
      <c r="Z28" t="s">
        <v>78</v>
      </c>
      <c r="AA28" t="s">
        <v>119</v>
      </c>
      <c r="AC28" t="s">
        <v>59</v>
      </c>
      <c r="AD28" t="s">
        <v>66</v>
      </c>
      <c r="AE28" t="s">
        <v>62</v>
      </c>
      <c r="AF28" t="s">
        <v>94</v>
      </c>
      <c r="AG28" t="s">
        <v>66</v>
      </c>
      <c r="AH28" t="s">
        <v>102</v>
      </c>
      <c r="AJ28" t="s">
        <v>74</v>
      </c>
      <c r="AU28" s="4">
        <f>X18</f>
        <v>0</v>
      </c>
      <c r="AV28" t="s">
        <v>120</v>
      </c>
      <c r="AW28">
        <f>(Q18*2)+Q9</f>
        <v>135.96640000000002</v>
      </c>
      <c r="AX28">
        <f t="shared" si="3"/>
        <v>0</v>
      </c>
      <c r="AY28" s="1">
        <v>4.99</v>
      </c>
      <c r="AZ28">
        <f t="shared" si="4"/>
        <v>0</v>
      </c>
      <c r="BA28">
        <f t="shared" si="5"/>
        <v>0</v>
      </c>
      <c r="BB28">
        <f t="shared" si="6"/>
        <v>0</v>
      </c>
    </row>
    <row r="29" spans="1:54" ht="10.5">
      <c r="A29" s="91"/>
      <c r="B29" s="91"/>
      <c r="C29" s="91"/>
      <c r="D29" s="91"/>
      <c r="E29" s="104"/>
      <c r="F29" s="104"/>
      <c r="G29" s="104"/>
      <c r="H29" s="96"/>
      <c r="I29" s="96"/>
      <c r="J29" s="29" t="s">
        <v>78</v>
      </c>
      <c r="K29" s="117">
        <f>ROUND(AX12,2)</f>
        <v>0</v>
      </c>
      <c r="L29" s="117" t="b">
        <f t="shared" si="7"/>
        <v>1</v>
      </c>
      <c r="M29" s="118">
        <f>ROUND(BA12,2)</f>
        <v>0</v>
      </c>
      <c r="N29" s="1" t="b">
        <f t="shared" si="0"/>
        <v>1</v>
      </c>
      <c r="O29" s="95"/>
      <c r="P29" s="46"/>
      <c r="T29">
        <f>IF(AND(S19&lt;=T15/3,T15&gt;0),((S19/(T15/3))*T28)+((1-(S19/(T15/3)))*T27),T28)</f>
        <v>493.3138</v>
      </c>
      <c r="U29" t="s">
        <v>121</v>
      </c>
      <c r="AJ29" t="s">
        <v>83</v>
      </c>
      <c r="AU29" s="4">
        <f>Y23</f>
        <v>0</v>
      </c>
      <c r="AV29" t="s">
        <v>112</v>
      </c>
      <c r="AW29">
        <f>Q11+Q24</f>
        <v>192.2946</v>
      </c>
      <c r="AX29">
        <f t="shared" si="3"/>
        <v>0</v>
      </c>
      <c r="AY29" s="1">
        <v>4.43</v>
      </c>
      <c r="AZ29">
        <f t="shared" si="4"/>
        <v>0</v>
      </c>
      <c r="BA29">
        <f t="shared" si="5"/>
        <v>0</v>
      </c>
      <c r="BB29">
        <f t="shared" si="6"/>
        <v>0</v>
      </c>
    </row>
    <row r="30" spans="1:54" ht="10.5">
      <c r="A30" s="111"/>
      <c r="B30" s="112"/>
      <c r="C30" s="91"/>
      <c r="D30" s="91"/>
      <c r="E30" s="95"/>
      <c r="F30" s="95"/>
      <c r="G30" s="95"/>
      <c r="H30" s="96"/>
      <c r="I30" s="96"/>
      <c r="J30" s="29" t="s">
        <v>120</v>
      </c>
      <c r="K30" s="117">
        <f>ROUND(AX28,2)</f>
        <v>0</v>
      </c>
      <c r="L30" s="117" t="b">
        <f t="shared" si="7"/>
        <v>1</v>
      </c>
      <c r="M30" s="118">
        <f>ROUND(BA28,2)</f>
        <v>0</v>
      </c>
      <c r="N30" s="1" t="b">
        <f t="shared" si="0"/>
        <v>1</v>
      </c>
      <c r="O30" s="95"/>
      <c r="P30"/>
      <c r="AI30">
        <f>IF(AH11&gt;0,AH11/(AH11+AH9),0)</f>
        <v>0.502929559852139</v>
      </c>
      <c r="AJ30" t="s">
        <v>122</v>
      </c>
      <c r="AU30" s="4">
        <f>Y24</f>
        <v>0</v>
      </c>
      <c r="AV30" t="s">
        <v>116</v>
      </c>
      <c r="AW30">
        <f>Q9+Q24</f>
        <v>223.83659999999998</v>
      </c>
      <c r="AX30">
        <f t="shared" si="3"/>
        <v>0</v>
      </c>
      <c r="AY30" s="1">
        <v>5.09</v>
      </c>
      <c r="AZ30">
        <f t="shared" si="4"/>
        <v>0</v>
      </c>
      <c r="BA30">
        <f t="shared" si="5"/>
        <v>0</v>
      </c>
      <c r="BB30">
        <f t="shared" si="6"/>
        <v>0</v>
      </c>
    </row>
    <row r="31" spans="1:54" ht="10.5">
      <c r="A31" s="111"/>
      <c r="B31" s="112"/>
      <c r="C31" s="91"/>
      <c r="D31" s="91"/>
      <c r="E31" s="95"/>
      <c r="F31" s="95"/>
      <c r="G31" s="95"/>
      <c r="H31" s="96"/>
      <c r="I31" s="96"/>
      <c r="J31" s="29" t="s">
        <v>104</v>
      </c>
      <c r="K31" s="117">
        <f>ROUND(AX24,2)</f>
        <v>0</v>
      </c>
      <c r="L31" s="117" t="b">
        <f t="shared" si="7"/>
        <v>1</v>
      </c>
      <c r="M31" s="118">
        <f>ROUND(BA24,2)</f>
        <v>0</v>
      </c>
      <c r="N31" s="1" t="b">
        <f t="shared" si="0"/>
        <v>1</v>
      </c>
      <c r="O31" s="95"/>
      <c r="P31"/>
      <c r="AI31">
        <f>(AI30*Q11)+((1-AI30)*Q9)</f>
        <v>55.98299582314383</v>
      </c>
      <c r="AJ31" t="s">
        <v>123</v>
      </c>
      <c r="AU31" s="4">
        <f>Z6</f>
        <v>0.012640990853429589</v>
      </c>
      <c r="AV31" t="s">
        <v>97</v>
      </c>
      <c r="AW31">
        <f>Q9+Q6</f>
        <v>151.7452</v>
      </c>
      <c r="AX31">
        <f t="shared" si="3"/>
        <v>1.9182096852518438</v>
      </c>
      <c r="AY31" s="1">
        <v>4.75</v>
      </c>
      <c r="AZ31">
        <f t="shared" si="4"/>
        <v>0.4038336179477566</v>
      </c>
      <c r="BA31">
        <f t="shared" si="5"/>
        <v>1.2574746042117502</v>
      </c>
      <c r="BB31">
        <f t="shared" si="6"/>
        <v>0.05973004370005813</v>
      </c>
    </row>
    <row r="32" spans="1:54" ht="10.5">
      <c r="A32" s="111"/>
      <c r="B32" s="112"/>
      <c r="C32" s="91"/>
      <c r="D32" s="91"/>
      <c r="E32" s="95"/>
      <c r="F32" s="95"/>
      <c r="G32" s="95"/>
      <c r="H32" s="96"/>
      <c r="I32" s="96"/>
      <c r="J32" s="29" t="s">
        <v>106</v>
      </c>
      <c r="K32" s="117">
        <f>ROUND(AX25,2)</f>
        <v>0</v>
      </c>
      <c r="L32" s="117" t="b">
        <f t="shared" si="7"/>
        <v>1</v>
      </c>
      <c r="M32" s="118">
        <f>ROUND(BA25,2)</f>
        <v>0</v>
      </c>
      <c r="N32" s="1" t="b">
        <f t="shared" si="0"/>
        <v>1</v>
      </c>
      <c r="O32" s="95"/>
      <c r="P32" s="56" t="s">
        <v>124</v>
      </c>
      <c r="Y32" s="13" t="s">
        <v>125</v>
      </c>
      <c r="AU32" s="4">
        <f>AA16</f>
        <v>0</v>
      </c>
      <c r="AV32" t="s">
        <v>113</v>
      </c>
      <c r="AW32">
        <f>Q12+Q16</f>
        <v>100.0892</v>
      </c>
      <c r="AX32">
        <f t="shared" si="3"/>
        <v>0</v>
      </c>
      <c r="AY32" s="1">
        <v>2.71</v>
      </c>
      <c r="AZ32">
        <f t="shared" si="4"/>
        <v>0</v>
      </c>
      <c r="BA32">
        <f t="shared" si="5"/>
        <v>0</v>
      </c>
      <c r="BB32">
        <f t="shared" si="6"/>
        <v>0</v>
      </c>
    </row>
    <row r="33" spans="1:54" ht="10.5">
      <c r="A33" s="111"/>
      <c r="B33" s="112"/>
      <c r="C33" s="91"/>
      <c r="D33" s="91"/>
      <c r="E33" s="105"/>
      <c r="F33" s="105"/>
      <c r="G33" s="105"/>
      <c r="H33" s="96"/>
      <c r="I33" s="96"/>
      <c r="J33" s="29" t="s">
        <v>108</v>
      </c>
      <c r="K33" s="117">
        <f>ROUND(AX26,2)</f>
        <v>0</v>
      </c>
      <c r="L33" s="117" t="b">
        <f t="shared" si="7"/>
        <v>1</v>
      </c>
      <c r="M33" s="118">
        <f>ROUND(BA26,2)</f>
        <v>0</v>
      </c>
      <c r="N33" s="1" t="b">
        <f t="shared" si="0"/>
        <v>1</v>
      </c>
      <c r="O33" s="95"/>
      <c r="P33" s="58"/>
      <c r="Q33" s="64" t="s">
        <v>126</v>
      </c>
      <c r="R33" s="64" t="s">
        <v>127</v>
      </c>
      <c r="S33" s="71" t="s">
        <v>128</v>
      </c>
      <c r="T33" s="64" t="s">
        <v>129</v>
      </c>
      <c r="U33" s="71" t="s">
        <v>130</v>
      </c>
      <c r="V33" s="64" t="s">
        <v>131</v>
      </c>
      <c r="W33" s="59">
        <f>(K49-1400)*0.00001</f>
        <v>-0.0001239063124250879</v>
      </c>
      <c r="X33" s="8"/>
      <c r="Y33" s="72"/>
      <c r="Z33" s="64" t="s">
        <v>126</v>
      </c>
      <c r="AA33" s="64" t="s">
        <v>127</v>
      </c>
      <c r="AB33" s="64" t="s">
        <v>129</v>
      </c>
      <c r="AC33" s="54" t="s">
        <v>132</v>
      </c>
      <c r="AD33" s="54" t="s">
        <v>133</v>
      </c>
      <c r="AE33" s="54" t="s">
        <v>134</v>
      </c>
      <c r="AF33" s="54"/>
      <c r="AG33" s="54" t="s">
        <v>135</v>
      </c>
      <c r="AH33" s="59"/>
      <c r="AU33" s="4">
        <f>AA17</f>
        <v>0</v>
      </c>
      <c r="AV33" t="s">
        <v>119</v>
      </c>
      <c r="AW33">
        <f>Q13+Q16</f>
        <v>105.9887</v>
      </c>
      <c r="AX33">
        <f t="shared" si="3"/>
        <v>0</v>
      </c>
      <c r="AY33" s="1">
        <v>2.53</v>
      </c>
      <c r="AZ33">
        <f t="shared" si="4"/>
        <v>0</v>
      </c>
      <c r="BA33">
        <f t="shared" si="5"/>
        <v>0</v>
      </c>
      <c r="BB33">
        <f t="shared" si="6"/>
        <v>0</v>
      </c>
    </row>
    <row r="34" spans="1:54" ht="10.5">
      <c r="A34" s="111"/>
      <c r="B34" s="112"/>
      <c r="C34" s="91"/>
      <c r="D34" s="91"/>
      <c r="E34" s="96"/>
      <c r="F34" s="96"/>
      <c r="G34" s="96"/>
      <c r="H34" s="96"/>
      <c r="I34" s="96"/>
      <c r="J34" s="29" t="s">
        <v>136</v>
      </c>
      <c r="K34" s="117">
        <f>ROUND(AX27,2)</f>
        <v>0</v>
      </c>
      <c r="L34" s="117" t="b">
        <f t="shared" si="7"/>
        <v>1</v>
      </c>
      <c r="M34" s="118">
        <f>ROUND(BA27,2)</f>
        <v>0</v>
      </c>
      <c r="N34" s="1" t="b">
        <f t="shared" si="0"/>
        <v>1</v>
      </c>
      <c r="O34" s="95"/>
      <c r="P34" s="57" t="s">
        <v>50</v>
      </c>
      <c r="Q34" s="65">
        <f aca="true" t="shared" si="21" ref="Q34:Q43">H6</f>
        <v>40.55</v>
      </c>
      <c r="R34" s="65">
        <f aca="true" t="shared" si="22" ref="R34:R43">Q34*(100/Q$44)</f>
        <v>40.509490509490504</v>
      </c>
      <c r="S34" s="66">
        <f aca="true" t="shared" si="23" ref="S34:S43">R34/Q5</f>
        <v>0.6742109088312671</v>
      </c>
      <c r="T34" s="67">
        <v>1</v>
      </c>
      <c r="U34" s="66">
        <f aca="true" t="shared" si="24" ref="U34:U43">S34*T34</f>
        <v>0.6742109088312671</v>
      </c>
      <c r="V34" s="73" t="s">
        <v>137</v>
      </c>
      <c r="W34" s="61">
        <f>U34*27.03</f>
        <v>18.22392086570915</v>
      </c>
      <c r="X34" s="8"/>
      <c r="Y34" s="43" t="s">
        <v>50</v>
      </c>
      <c r="Z34" s="9">
        <f aca="true" t="shared" si="25" ref="Z34:Z43">H6</f>
        <v>40.55</v>
      </c>
      <c r="AA34" s="9">
        <f aca="true" t="shared" si="26" ref="AA34:AA44">Z34*(100/Z$45)</f>
        <v>40.509490509490504</v>
      </c>
      <c r="AB34" s="67">
        <v>1</v>
      </c>
      <c r="AC34" s="60">
        <f aca="true" t="shared" si="27" ref="AC34:AC44">(AA34/Q5)*AB34</f>
        <v>0.6742109088312671</v>
      </c>
      <c r="AD34" s="60">
        <f aca="true" t="shared" si="28" ref="AD34:AD44">AC34*(1/AC$45)</f>
        <v>0.3823618458470365</v>
      </c>
      <c r="AE34" s="14" t="s">
        <v>138</v>
      </c>
      <c r="AF34" s="60">
        <f>AD34+AD35+AD36+AF37+AD41+((AF42+AD44)/2)</f>
        <v>0.9959201299855662</v>
      </c>
      <c r="AG34" s="75" t="s">
        <v>139</v>
      </c>
      <c r="AH34" s="76">
        <f>AD36*6.7</f>
        <v>1.5450133350196806</v>
      </c>
      <c r="AU34" s="4">
        <f>AE7</f>
        <v>0</v>
      </c>
      <c r="AV34" t="s">
        <v>76</v>
      </c>
      <c r="AW34">
        <f>Q7</f>
        <v>101.9613</v>
      </c>
      <c r="AX34">
        <f t="shared" si="3"/>
        <v>0</v>
      </c>
      <c r="AY34" s="1">
        <v>3.98</v>
      </c>
      <c r="AZ34">
        <f t="shared" si="4"/>
        <v>0</v>
      </c>
      <c r="BA34">
        <f t="shared" si="5"/>
        <v>0</v>
      </c>
      <c r="BB34">
        <f t="shared" si="6"/>
        <v>0</v>
      </c>
    </row>
    <row r="35" spans="1:54" ht="10.5">
      <c r="A35" s="111"/>
      <c r="B35" s="112"/>
      <c r="C35" s="91"/>
      <c r="D35" s="91"/>
      <c r="E35" s="96"/>
      <c r="F35" s="96"/>
      <c r="G35" s="96"/>
      <c r="H35" s="96"/>
      <c r="I35" s="96"/>
      <c r="J35" s="29" t="s">
        <v>113</v>
      </c>
      <c r="K35" s="117">
        <f>ROUND(AX32,2)</f>
        <v>0</v>
      </c>
      <c r="L35" s="117" t="b">
        <f t="shared" si="7"/>
        <v>1</v>
      </c>
      <c r="M35" s="118">
        <f>ROUND(BA32,2)</f>
        <v>0</v>
      </c>
      <c r="N35" s="1" t="b">
        <f t="shared" si="0"/>
        <v>1</v>
      </c>
      <c r="O35" s="95"/>
      <c r="P35" s="57" t="s">
        <v>54</v>
      </c>
      <c r="Q35" s="65">
        <f t="shared" si="21"/>
        <v>1.01</v>
      </c>
      <c r="R35" s="65">
        <f t="shared" si="22"/>
        <v>1.008991008991009</v>
      </c>
      <c r="S35" s="66">
        <f t="shared" si="23"/>
        <v>0.012628362490938651</v>
      </c>
      <c r="T35" s="67">
        <v>1</v>
      </c>
      <c r="U35" s="66">
        <f t="shared" si="24"/>
        <v>0.012628362490938651</v>
      </c>
      <c r="V35" s="73" t="s">
        <v>140</v>
      </c>
      <c r="W35" s="61">
        <f>U35*22.6*(1+(W$33*26.7))</f>
        <v>0.2844568006085893</v>
      </c>
      <c r="X35" s="8"/>
      <c r="Y35" s="44" t="s">
        <v>54</v>
      </c>
      <c r="Z35" s="9">
        <f t="shared" si="25"/>
        <v>1.01</v>
      </c>
      <c r="AA35" s="9">
        <f t="shared" si="26"/>
        <v>1.008991008991009</v>
      </c>
      <c r="AB35" s="67">
        <v>1</v>
      </c>
      <c r="AC35" s="60">
        <f t="shared" si="27"/>
        <v>0.012628362490938651</v>
      </c>
      <c r="AD35" s="60">
        <f t="shared" si="28"/>
        <v>0.007161859781282809</v>
      </c>
      <c r="AE35" s="14"/>
      <c r="AF35" s="60"/>
      <c r="AG35" s="75" t="s">
        <v>141</v>
      </c>
      <c r="AH35" s="76">
        <f>AF37*3.4</f>
        <v>0.8801558971422819</v>
      </c>
      <c r="AU35" s="4">
        <f>AF18</f>
        <v>0</v>
      </c>
      <c r="AV35" t="s">
        <v>94</v>
      </c>
      <c r="AW35">
        <f>Q6</f>
        <v>79.8988</v>
      </c>
      <c r="AX35">
        <f t="shared" si="3"/>
        <v>0</v>
      </c>
      <c r="AY35" s="1">
        <v>4.2</v>
      </c>
      <c r="AZ35">
        <f t="shared" si="4"/>
        <v>0</v>
      </c>
      <c r="BA35">
        <f t="shared" si="5"/>
        <v>0</v>
      </c>
      <c r="BB35">
        <f t="shared" si="6"/>
        <v>0</v>
      </c>
    </row>
    <row r="36" spans="1:54" ht="10.5">
      <c r="A36" s="111"/>
      <c r="B36" s="112"/>
      <c r="C36" s="91"/>
      <c r="D36" s="91"/>
      <c r="E36" s="96"/>
      <c r="F36" s="96"/>
      <c r="G36" s="96"/>
      <c r="H36" s="96"/>
      <c r="I36" s="96"/>
      <c r="J36" s="30" t="s">
        <v>119</v>
      </c>
      <c r="K36" s="119">
        <f>ROUND(AX33,2)</f>
        <v>0</v>
      </c>
      <c r="L36" s="117" t="b">
        <f t="shared" si="7"/>
        <v>1</v>
      </c>
      <c r="M36" s="120">
        <f>ROUND(BA33,2)</f>
        <v>0</v>
      </c>
      <c r="N36" s="1"/>
      <c r="O36" s="95"/>
      <c r="P36" s="57" t="s">
        <v>58</v>
      </c>
      <c r="Q36" s="65">
        <f t="shared" si="21"/>
        <v>20.75</v>
      </c>
      <c r="R36" s="65">
        <f t="shared" si="22"/>
        <v>20.729270729270727</v>
      </c>
      <c r="S36" s="66">
        <f t="shared" si="23"/>
        <v>0.20330528081998492</v>
      </c>
      <c r="T36" s="67">
        <v>2</v>
      </c>
      <c r="U36" s="66">
        <f t="shared" si="24"/>
        <v>0.40661056163996984</v>
      </c>
      <c r="V36" s="73" t="s">
        <v>142</v>
      </c>
      <c r="W36" s="61">
        <f>U36*18.315*(1+(W$33*14.7))</f>
        <v>7.433508168961817</v>
      </c>
      <c r="X36" s="8"/>
      <c r="Y36" s="44" t="s">
        <v>58</v>
      </c>
      <c r="Z36" s="9">
        <f t="shared" si="25"/>
        <v>20.75</v>
      </c>
      <c r="AA36" s="9">
        <f t="shared" si="26"/>
        <v>20.729270729270727</v>
      </c>
      <c r="AB36" s="67">
        <v>2</v>
      </c>
      <c r="AC36" s="60">
        <f t="shared" si="27"/>
        <v>0.40661056163996984</v>
      </c>
      <c r="AD36" s="60">
        <f t="shared" si="28"/>
        <v>0.230599005226818</v>
      </c>
      <c r="AE36" s="14"/>
      <c r="AF36" s="60"/>
      <c r="AG36" s="75" t="s">
        <v>143</v>
      </c>
      <c r="AH36" s="76">
        <f>(AD35+AD41)*4.5</f>
        <v>0.5400451232317897</v>
      </c>
      <c r="AU36" s="4">
        <f>AH8</f>
        <v>0.006011564747683355</v>
      </c>
      <c r="AV36" t="s">
        <v>99</v>
      </c>
      <c r="AW36">
        <f>Q9+Q8</f>
        <v>231.53860000000003</v>
      </c>
      <c r="AX36">
        <f t="shared" si="3"/>
        <v>1.3919092854879573</v>
      </c>
      <c r="AY36" s="1">
        <v>5.2</v>
      </c>
      <c r="AZ36">
        <f t="shared" si="4"/>
        <v>0.26767486259383794</v>
      </c>
      <c r="BA36">
        <f t="shared" si="5"/>
        <v>0.8334975765716606</v>
      </c>
      <c r="BB36">
        <f t="shared" si="6"/>
        <v>0.043341873981726356</v>
      </c>
    </row>
    <row r="37" spans="1:54" ht="10.5">
      <c r="A37" s="111"/>
      <c r="B37" s="112"/>
      <c r="C37" s="91"/>
      <c r="D37" s="91"/>
      <c r="E37" s="96"/>
      <c r="F37" s="96"/>
      <c r="G37" s="96"/>
      <c r="H37" s="96"/>
      <c r="I37" s="96"/>
      <c r="J37" s="30" t="s">
        <v>109</v>
      </c>
      <c r="K37" s="119">
        <f>SUM(K6:K36)</f>
        <v>100.14</v>
      </c>
      <c r="L37" s="119" t="b">
        <v>0</v>
      </c>
      <c r="M37" s="120">
        <f>SUM(M6:M36)</f>
        <v>100.01000000000002</v>
      </c>
      <c r="O37" s="96"/>
      <c r="P37" s="57" t="s">
        <v>61</v>
      </c>
      <c r="Q37" s="65">
        <f t="shared" si="21"/>
        <v>0.96</v>
      </c>
      <c r="R37" s="65">
        <f t="shared" si="22"/>
        <v>0.959040959040959</v>
      </c>
      <c r="S37" s="66">
        <f t="shared" si="23"/>
        <v>0.00600555918849486</v>
      </c>
      <c r="T37" s="67">
        <v>2</v>
      </c>
      <c r="U37" s="66">
        <f t="shared" si="24"/>
        <v>0.01201111837698972</v>
      </c>
      <c r="V37" s="73" t="s">
        <v>144</v>
      </c>
      <c r="W37" s="61">
        <f>U37*21.865*(1+(W$33*12.1))</f>
        <v>0.2622293613233817</v>
      </c>
      <c r="X37" s="8"/>
      <c r="Y37" s="44" t="s">
        <v>61</v>
      </c>
      <c r="Z37" s="9">
        <f t="shared" si="25"/>
        <v>0.96</v>
      </c>
      <c r="AA37" s="9">
        <f t="shared" si="26"/>
        <v>0.959040959040959</v>
      </c>
      <c r="AB37" s="67">
        <v>2</v>
      </c>
      <c r="AC37" s="60">
        <f t="shared" si="27"/>
        <v>0.01201111837698972</v>
      </c>
      <c r="AD37" s="60">
        <f t="shared" si="28"/>
        <v>0.006811805227646392</v>
      </c>
      <c r="AE37" s="14" t="s">
        <v>145</v>
      </c>
      <c r="AF37" s="60">
        <f>AD37+AD38+AD39+AD40</f>
        <v>0.2588693815124359</v>
      </c>
      <c r="AG37" s="75" t="s">
        <v>146</v>
      </c>
      <c r="AH37" s="76">
        <f>AF42*1.4</f>
        <v>0.011423636040414664</v>
      </c>
      <c r="AU37" s="27">
        <f>AH22</f>
        <v>0</v>
      </c>
      <c r="AV37" s="7" t="s">
        <v>102</v>
      </c>
      <c r="AW37" s="7">
        <f>Q8</f>
        <v>159.6922</v>
      </c>
      <c r="AX37" s="7">
        <f t="shared" si="3"/>
        <v>0</v>
      </c>
      <c r="AY37" s="20">
        <v>5.25</v>
      </c>
      <c r="AZ37" s="7">
        <f t="shared" si="4"/>
        <v>0</v>
      </c>
      <c r="BA37" s="7">
        <f t="shared" si="5"/>
        <v>0</v>
      </c>
      <c r="BB37" s="7">
        <f t="shared" si="6"/>
        <v>0</v>
      </c>
    </row>
    <row r="38" spans="1:55" ht="10.5">
      <c r="A38" s="111"/>
      <c r="B38" s="112"/>
      <c r="C38" s="91"/>
      <c r="D38" s="91"/>
      <c r="E38" s="96"/>
      <c r="F38" s="96"/>
      <c r="G38" s="96"/>
      <c r="H38" s="28" t="s">
        <v>147</v>
      </c>
      <c r="I38" s="32"/>
      <c r="J38" s="32"/>
      <c r="K38" s="121">
        <f>IF(R8&gt;0,100*((R8*2)/((R8*2)+R9)),0)</f>
        <v>5.009438990676106</v>
      </c>
      <c r="L38" s="121"/>
      <c r="M38" s="122">
        <f aca="true" t="shared" si="29" ref="M38:M43">K38</f>
        <v>5.009438990676106</v>
      </c>
      <c r="N38" s="21"/>
      <c r="O38" s="97"/>
      <c r="P38" s="57" t="s">
        <v>65</v>
      </c>
      <c r="Q38" s="65">
        <f t="shared" si="21"/>
        <v>16.38</v>
      </c>
      <c r="R38" s="65">
        <f t="shared" si="22"/>
        <v>16.36363636363636</v>
      </c>
      <c r="S38" s="66">
        <f t="shared" si="23"/>
        <v>0.22775861231232683</v>
      </c>
      <c r="T38" s="67">
        <v>1</v>
      </c>
      <c r="U38" s="66">
        <f t="shared" si="24"/>
        <v>0.22775861231232683</v>
      </c>
      <c r="V38" s="73" t="s">
        <v>148</v>
      </c>
      <c r="W38" s="61">
        <f>(U38+U39)*13.85*(1+(W$33*31.2))</f>
        <v>3.1772348667517405</v>
      </c>
      <c r="X38" s="8"/>
      <c r="Y38" s="44" t="s">
        <v>65</v>
      </c>
      <c r="Z38" s="9">
        <f t="shared" si="25"/>
        <v>16.38</v>
      </c>
      <c r="AA38" s="9">
        <f t="shared" si="26"/>
        <v>16.36363636363636</v>
      </c>
      <c r="AB38" s="67">
        <v>1</v>
      </c>
      <c r="AC38" s="60">
        <f t="shared" si="27"/>
        <v>0.22775861231232683</v>
      </c>
      <c r="AD38" s="60">
        <f t="shared" si="28"/>
        <v>0.1291675976620777</v>
      </c>
      <c r="AE38" s="14"/>
      <c r="AF38" s="60"/>
      <c r="AG38" s="75"/>
      <c r="AH38" s="76"/>
      <c r="AV38" t="s">
        <v>109</v>
      </c>
      <c r="AX38" s="1">
        <f>SUM(AX5:AX37)</f>
        <v>100.12230917925821</v>
      </c>
      <c r="AY38" s="1"/>
      <c r="AZ38" s="50">
        <f>SUM(AZ5:AZ37)</f>
        <v>32.114653973540904</v>
      </c>
      <c r="BA38" s="1">
        <f>SUM(BA5:BA37)</f>
        <v>99.99999999999996</v>
      </c>
      <c r="BB38" s="1">
        <f>SUM(BB5:BB37)</f>
        <v>3.1176518128374817</v>
      </c>
      <c r="BC38" t="s">
        <v>149</v>
      </c>
    </row>
    <row r="39" spans="1:34" ht="10.5">
      <c r="A39" s="111"/>
      <c r="B39" s="112"/>
      <c r="C39" s="91"/>
      <c r="D39" s="91"/>
      <c r="E39" s="91"/>
      <c r="F39" s="91"/>
      <c r="G39" s="91"/>
      <c r="H39" s="29" t="s">
        <v>150</v>
      </c>
      <c r="I39" s="14"/>
      <c r="J39" s="14"/>
      <c r="K39" s="123">
        <f>IF(R11&gt;0,100*(R11/(R11+R9+(R8*2))),0)</f>
        <v>47.178468462754</v>
      </c>
      <c r="L39" s="123"/>
      <c r="M39" s="124">
        <f t="shared" si="29"/>
        <v>47.178468462754</v>
      </c>
      <c r="N39" s="23"/>
      <c r="O39" s="97"/>
      <c r="P39" s="44" t="s">
        <v>69</v>
      </c>
      <c r="Q39" s="65">
        <f t="shared" si="21"/>
        <v>0.18</v>
      </c>
      <c r="R39" s="65">
        <f t="shared" si="22"/>
        <v>0.1798201798201798</v>
      </c>
      <c r="S39" s="66">
        <f t="shared" si="23"/>
        <v>0.0025349135973432887</v>
      </c>
      <c r="T39" s="67">
        <v>1</v>
      </c>
      <c r="U39" s="66">
        <f t="shared" si="24"/>
        <v>0.0025349135973432887</v>
      </c>
      <c r="V39" s="73" t="s">
        <v>151</v>
      </c>
      <c r="W39" s="61"/>
      <c r="X39" s="8"/>
      <c r="Y39" s="44" t="s">
        <v>69</v>
      </c>
      <c r="Z39" s="9">
        <f t="shared" si="25"/>
        <v>0.18</v>
      </c>
      <c r="AA39" s="9">
        <f t="shared" si="26"/>
        <v>0.1798201798201798</v>
      </c>
      <c r="AB39" s="67">
        <v>1</v>
      </c>
      <c r="AC39" s="60">
        <f t="shared" si="27"/>
        <v>0.0025349135973432887</v>
      </c>
      <c r="AD39" s="60">
        <f t="shared" si="28"/>
        <v>0.001437612814398267</v>
      </c>
      <c r="AE39" s="14"/>
      <c r="AF39" s="60"/>
      <c r="AG39" s="75" t="s">
        <v>152</v>
      </c>
      <c r="AH39" s="76">
        <f>(AH34+AH35+AH36+AH37)*(AD34/AF34)</f>
        <v>1.1428153348398313</v>
      </c>
    </row>
    <row r="40" spans="1:34" ht="10.5">
      <c r="A40" s="111"/>
      <c r="B40" s="112"/>
      <c r="C40" s="91"/>
      <c r="D40" s="91"/>
      <c r="E40" s="91"/>
      <c r="F40" s="91"/>
      <c r="G40" s="91"/>
      <c r="H40" s="29" t="s">
        <v>153</v>
      </c>
      <c r="I40" s="14"/>
      <c r="J40" s="14"/>
      <c r="K40" s="123">
        <f>IF(R11&gt;0,100*R11/(R11+R9),0)</f>
        <v>48.460770693018695</v>
      </c>
      <c r="L40" s="123"/>
      <c r="M40" s="124">
        <f t="shared" si="29"/>
        <v>48.460770693018695</v>
      </c>
      <c r="N40" s="23"/>
      <c r="O40" s="97"/>
      <c r="P40" s="44" t="s">
        <v>73</v>
      </c>
      <c r="Q40" s="65">
        <f t="shared" si="21"/>
        <v>8.64</v>
      </c>
      <c r="R40" s="65">
        <f t="shared" si="22"/>
        <v>8.63136863136863</v>
      </c>
      <c r="S40" s="66">
        <f t="shared" si="23"/>
        <v>0.2141545000389196</v>
      </c>
      <c r="T40" s="67">
        <v>1</v>
      </c>
      <c r="U40" s="66">
        <f t="shared" si="24"/>
        <v>0.2141545000389196</v>
      </c>
      <c r="V40" s="73" t="s">
        <v>154</v>
      </c>
      <c r="W40" s="61">
        <f>U40*11.43*(1+(W$33*9.4))</f>
        <v>2.4449349518335013</v>
      </c>
      <c r="X40" s="8"/>
      <c r="Y40" s="44" t="s">
        <v>73</v>
      </c>
      <c r="Z40" s="9">
        <f t="shared" si="25"/>
        <v>8.64</v>
      </c>
      <c r="AA40" s="9">
        <f t="shared" si="26"/>
        <v>8.63136863136863</v>
      </c>
      <c r="AB40" s="67">
        <v>1</v>
      </c>
      <c r="AC40" s="60">
        <f t="shared" si="27"/>
        <v>0.2141545000389196</v>
      </c>
      <c r="AD40" s="60">
        <f t="shared" si="28"/>
        <v>0.12145236580831348</v>
      </c>
      <c r="AE40" s="14"/>
      <c r="AF40" s="60"/>
      <c r="AG40" s="75" t="s">
        <v>155</v>
      </c>
      <c r="AH40" s="76">
        <f>((AH39/(1-(AD34/AF34)))*((10000/(K49+273.15))-1.5))-6.4</f>
        <v>1.9871053174102347</v>
      </c>
    </row>
    <row r="41" spans="1:34" ht="10.5">
      <c r="A41" s="111"/>
      <c r="B41" s="112"/>
      <c r="C41" s="91"/>
      <c r="D41" s="91"/>
      <c r="E41" s="91"/>
      <c r="F41" s="91"/>
      <c r="G41" s="91"/>
      <c r="H41" s="29" t="s">
        <v>156</v>
      </c>
      <c r="I41" s="14"/>
      <c r="J41" s="14"/>
      <c r="K41" s="123">
        <f>100*AI30</f>
        <v>50.29295598521391</v>
      </c>
      <c r="L41" s="123"/>
      <c r="M41" s="124">
        <f t="shared" si="29"/>
        <v>50.29295598521391</v>
      </c>
      <c r="N41" s="23"/>
      <c r="O41" s="97"/>
      <c r="P41" s="44" t="s">
        <v>77</v>
      </c>
      <c r="Q41" s="65">
        <f t="shared" si="21"/>
        <v>11.17</v>
      </c>
      <c r="R41" s="65">
        <f t="shared" si="22"/>
        <v>11.158841158841158</v>
      </c>
      <c r="S41" s="66">
        <f t="shared" si="23"/>
        <v>0.19898289137974298</v>
      </c>
      <c r="T41" s="67">
        <v>1</v>
      </c>
      <c r="U41" s="66">
        <f t="shared" si="24"/>
        <v>0.19898289137974298</v>
      </c>
      <c r="V41" s="73" t="s">
        <v>157</v>
      </c>
      <c r="W41" s="61">
        <f>U41*16.32*(1+(W$33*38.4))</f>
        <v>3.2319496465869286</v>
      </c>
      <c r="X41" s="8"/>
      <c r="Y41" s="44" t="s">
        <v>77</v>
      </c>
      <c r="Z41" s="9">
        <f t="shared" si="25"/>
        <v>11.17</v>
      </c>
      <c r="AA41" s="9">
        <f t="shared" si="26"/>
        <v>11.158841158841158</v>
      </c>
      <c r="AB41" s="67">
        <v>1</v>
      </c>
      <c r="AC41" s="60">
        <f t="shared" si="27"/>
        <v>0.19898289137974298</v>
      </c>
      <c r="AD41" s="60">
        <f t="shared" si="28"/>
        <v>0.11284816760355933</v>
      </c>
      <c r="AE41" s="14"/>
      <c r="AF41" s="60"/>
      <c r="AG41" s="75"/>
      <c r="AH41" s="76"/>
    </row>
    <row r="42" spans="1:34" ht="10.5">
      <c r="A42" s="111"/>
      <c r="B42" s="112"/>
      <c r="C42" s="91"/>
      <c r="D42" s="91"/>
      <c r="E42" s="91"/>
      <c r="F42" s="91"/>
      <c r="G42" s="91"/>
      <c r="H42" s="29" t="s">
        <v>158</v>
      </c>
      <c r="I42" s="14"/>
      <c r="J42" s="14"/>
      <c r="K42" s="123">
        <f>IF(R12&gt;0,100*R12/(R12+(R13*2)),0)</f>
        <v>93.62915950308768</v>
      </c>
      <c r="L42" s="123"/>
      <c r="M42" s="124">
        <f t="shared" si="29"/>
        <v>93.62915950308768</v>
      </c>
      <c r="N42" s="23"/>
      <c r="O42" s="97"/>
      <c r="P42" s="44" t="s">
        <v>79</v>
      </c>
      <c r="Q42" s="65">
        <f t="shared" si="21"/>
        <v>0.42</v>
      </c>
      <c r="R42" s="65">
        <f t="shared" si="22"/>
        <v>0.41958041958041953</v>
      </c>
      <c r="S42" s="66">
        <f t="shared" si="23"/>
        <v>0.006769730014253552</v>
      </c>
      <c r="T42" s="67">
        <v>2</v>
      </c>
      <c r="U42" s="66">
        <f t="shared" si="24"/>
        <v>0.013539460028507104</v>
      </c>
      <c r="V42" s="73" t="s">
        <v>159</v>
      </c>
      <c r="W42" s="61">
        <f>U42*14.39*(1+(W$33*23.5))</f>
        <v>0.1942655158994107</v>
      </c>
      <c r="X42" s="8"/>
      <c r="Y42" s="44" t="s">
        <v>79</v>
      </c>
      <c r="Z42" s="9">
        <f t="shared" si="25"/>
        <v>0.42</v>
      </c>
      <c r="AA42" s="9">
        <f t="shared" si="26"/>
        <v>0.41958041958041953</v>
      </c>
      <c r="AB42" s="67">
        <v>2</v>
      </c>
      <c r="AC42" s="60">
        <f t="shared" si="27"/>
        <v>0.013539460028507104</v>
      </c>
      <c r="AD42" s="60">
        <f t="shared" si="28"/>
        <v>0.007678565950892635</v>
      </c>
      <c r="AE42" s="14" t="s">
        <v>160</v>
      </c>
      <c r="AF42" s="60">
        <f>AD42+AD43</f>
        <v>0.008159740028867617</v>
      </c>
      <c r="AG42" s="75"/>
      <c r="AH42" s="76"/>
    </row>
    <row r="43" spans="1:34" ht="10.5">
      <c r="A43" s="111"/>
      <c r="B43" s="112"/>
      <c r="C43" s="91"/>
      <c r="D43" s="91"/>
      <c r="E43" s="91"/>
      <c r="F43" s="91"/>
      <c r="G43" s="91"/>
      <c r="H43" s="29" t="s">
        <v>179</v>
      </c>
      <c r="I43" s="8"/>
      <c r="J43" s="14"/>
      <c r="K43" s="125">
        <f>IF(AP27&gt;0,100*AP27,"zero")</f>
        <v>93.54189883064366</v>
      </c>
      <c r="L43" s="125"/>
      <c r="M43" s="126">
        <f t="shared" si="29"/>
        <v>93.54189883064366</v>
      </c>
      <c r="N43" s="23"/>
      <c r="O43" s="97"/>
      <c r="P43" s="45" t="s">
        <v>81</v>
      </c>
      <c r="Q43" s="68">
        <f t="shared" si="21"/>
        <v>0.04</v>
      </c>
      <c r="R43" s="68">
        <f t="shared" si="22"/>
        <v>0.03996003996003996</v>
      </c>
      <c r="S43" s="69">
        <f t="shared" si="23"/>
        <v>0.0004242222595443539</v>
      </c>
      <c r="T43" s="70">
        <v>2</v>
      </c>
      <c r="U43" s="69">
        <f t="shared" si="24"/>
        <v>0.0008484445190887078</v>
      </c>
      <c r="V43" s="74" t="s">
        <v>161</v>
      </c>
      <c r="W43" s="62">
        <f>U43*22.965*(1+(W$33*24.9))</f>
        <v>0.01942441340495288</v>
      </c>
      <c r="X43" s="8"/>
      <c r="Y43" s="44" t="s">
        <v>81</v>
      </c>
      <c r="Z43" s="9">
        <f t="shared" si="25"/>
        <v>0.04</v>
      </c>
      <c r="AA43" s="9">
        <f t="shared" si="26"/>
        <v>0.03996003996003996</v>
      </c>
      <c r="AB43" s="67">
        <v>2</v>
      </c>
      <c r="AC43" s="60">
        <f t="shared" si="27"/>
        <v>0.0008484445190887078</v>
      </c>
      <c r="AD43" s="60">
        <f t="shared" si="28"/>
        <v>0.0004811740779749819</v>
      </c>
      <c r="AE43" s="14"/>
      <c r="AF43" s="60"/>
      <c r="AG43" s="75"/>
      <c r="AH43" s="76"/>
    </row>
    <row r="44" spans="1:34" ht="10.5">
      <c r="A44" s="111"/>
      <c r="B44" s="112"/>
      <c r="C44" s="91"/>
      <c r="D44" s="91"/>
      <c r="E44" s="91"/>
      <c r="F44" s="91"/>
      <c r="G44" s="91"/>
      <c r="H44" s="53" t="s">
        <v>162</v>
      </c>
      <c r="I44" s="54"/>
      <c r="J44" s="55"/>
      <c r="K44" s="127">
        <f>SUM(K6,K7,K8:K11)</f>
        <v>58.410000000000004</v>
      </c>
      <c r="L44" s="127"/>
      <c r="M44" s="128">
        <f>SUM(M6,M7,M8:M11)</f>
        <v>66.13000000000001</v>
      </c>
      <c r="N44" s="23"/>
      <c r="O44" s="97"/>
      <c r="P44" s="45" t="s">
        <v>46</v>
      </c>
      <c r="Q44" s="20">
        <f>SUM(Q34:Q43)</f>
        <v>100.10000000000001</v>
      </c>
      <c r="R44" s="20">
        <f>SUM(R34:R43)</f>
        <v>99.99999999999999</v>
      </c>
      <c r="S44" s="7"/>
      <c r="T44" s="7"/>
      <c r="U44" s="7"/>
      <c r="V44" s="7"/>
      <c r="W44" s="62">
        <f>100/SUM(W34:W43)</f>
        <v>2.8351160635360033</v>
      </c>
      <c r="X44" s="8"/>
      <c r="Y44" s="29" t="s">
        <v>84</v>
      </c>
      <c r="Z44" s="8">
        <v>0</v>
      </c>
      <c r="AA44" s="9">
        <f t="shared" si="26"/>
        <v>0</v>
      </c>
      <c r="AB44" s="8">
        <v>2</v>
      </c>
      <c r="AC44" s="8">
        <f t="shared" si="27"/>
        <v>0</v>
      </c>
      <c r="AD44" s="60">
        <f t="shared" si="28"/>
        <v>0</v>
      </c>
      <c r="AE44" s="8"/>
      <c r="AF44" s="60"/>
      <c r="AG44" s="60"/>
      <c r="AH44" s="76"/>
    </row>
    <row r="45" spans="1:34" ht="10.5">
      <c r="A45" s="111"/>
      <c r="B45" s="112"/>
      <c r="C45" s="91"/>
      <c r="D45" s="91"/>
      <c r="E45" s="91"/>
      <c r="F45" s="91"/>
      <c r="G45" s="91"/>
      <c r="H45" s="30" t="s">
        <v>163</v>
      </c>
      <c r="I45" s="7"/>
      <c r="J45" s="18"/>
      <c r="K45" s="119">
        <f>M45</f>
        <v>3.1176518128374817</v>
      </c>
      <c r="L45" s="129"/>
      <c r="M45" s="120">
        <f>BB38</f>
        <v>3.1176518128374817</v>
      </c>
      <c r="N45" s="7"/>
      <c r="O45" s="91"/>
      <c r="P45" s="46"/>
      <c r="Y45" s="30" t="s">
        <v>109</v>
      </c>
      <c r="Z45" s="20">
        <f>SUM(Z34:Z44)</f>
        <v>100.10000000000001</v>
      </c>
      <c r="AA45" s="20">
        <f>SUM(AA34:AA44)</f>
        <v>99.99999999999999</v>
      </c>
      <c r="AB45" s="7"/>
      <c r="AC45" s="63">
        <f>SUM(AC34:AC44)</f>
        <v>1.7632797732150935</v>
      </c>
      <c r="AD45" s="63">
        <f>SUM(AD34:AD44)</f>
        <v>1</v>
      </c>
      <c r="AE45" s="18"/>
      <c r="AF45" s="7"/>
      <c r="AG45" s="18" t="s">
        <v>164</v>
      </c>
      <c r="AH45" s="79">
        <f>(AH40/2.303)</f>
        <v>0.8628333987886386</v>
      </c>
    </row>
    <row r="46" spans="1:16" ht="10.5">
      <c r="A46" s="111"/>
      <c r="B46" s="113"/>
      <c r="C46" s="91"/>
      <c r="D46" s="91"/>
      <c r="E46" s="91"/>
      <c r="F46" s="91"/>
      <c r="G46" s="91"/>
      <c r="H46" s="28" t="s">
        <v>171</v>
      </c>
      <c r="I46" s="80"/>
      <c r="J46" s="32"/>
      <c r="K46" s="115">
        <f>W44</f>
        <v>2.8351160635360033</v>
      </c>
      <c r="L46" s="130"/>
      <c r="M46" s="116">
        <f>K46</f>
        <v>2.8351160635360033</v>
      </c>
      <c r="N46" s="39"/>
      <c r="O46" s="96"/>
      <c r="P46" s="109" t="s">
        <v>170</v>
      </c>
    </row>
    <row r="47" spans="1:18" ht="10.5">
      <c r="A47" s="111"/>
      <c r="B47" s="113"/>
      <c r="C47" s="91"/>
      <c r="D47" s="91"/>
      <c r="E47" s="91"/>
      <c r="F47" s="91"/>
      <c r="G47" s="91"/>
      <c r="H47" s="44" t="s">
        <v>172</v>
      </c>
      <c r="I47" s="81"/>
      <c r="J47" s="81"/>
      <c r="K47" s="117">
        <f>AH45/10</f>
        <v>0.08628333987886386</v>
      </c>
      <c r="L47" s="117"/>
      <c r="M47" s="118">
        <f>K47</f>
        <v>0.08628333987886386</v>
      </c>
      <c r="O47" s="96"/>
      <c r="P47" s="28" t="s">
        <v>50</v>
      </c>
      <c r="Q47" s="108">
        <f>B6</f>
        <v>40.55</v>
      </c>
      <c r="R47" s="22" t="s">
        <v>52</v>
      </c>
    </row>
    <row r="48" spans="1:25" ht="10.5">
      <c r="A48" s="111"/>
      <c r="B48" s="113"/>
      <c r="C48" s="91"/>
      <c r="D48" s="91"/>
      <c r="E48" s="91"/>
      <c r="F48" s="91"/>
      <c r="G48" s="91"/>
      <c r="H48" s="30" t="s">
        <v>173</v>
      </c>
      <c r="I48" s="7"/>
      <c r="J48" s="7"/>
      <c r="K48" s="119">
        <f>AK62/10</f>
        <v>0.08497519817809304</v>
      </c>
      <c r="L48" s="119"/>
      <c r="M48" s="120">
        <f>K48</f>
        <v>0.08497519817809304</v>
      </c>
      <c r="O48" s="96"/>
      <c r="P48" s="29" t="s">
        <v>54</v>
      </c>
      <c r="Q48" s="108">
        <f aca="true" t="shared" si="30" ref="Q48:Q62">B7</f>
        <v>1.01</v>
      </c>
      <c r="R48" s="24" t="s">
        <v>52</v>
      </c>
      <c r="Y48" s="13" t="s">
        <v>165</v>
      </c>
    </row>
    <row r="49" spans="1:37" ht="10.5">
      <c r="A49" s="111"/>
      <c r="B49" s="113"/>
      <c r="C49" s="91"/>
      <c r="D49" s="91"/>
      <c r="E49" s="91"/>
      <c r="F49" s="91"/>
      <c r="G49" s="91"/>
      <c r="H49" s="82" t="s">
        <v>174</v>
      </c>
      <c r="I49" s="83"/>
      <c r="J49" s="83"/>
      <c r="K49" s="131">
        <f>(-18.33*(H6*(100/H27)))+2130</f>
        <v>1387.6093687574912</v>
      </c>
      <c r="L49" s="132"/>
      <c r="M49" s="133">
        <f>K49</f>
        <v>1387.6093687574912</v>
      </c>
      <c r="O49" s="91"/>
      <c r="P49" s="29" t="s">
        <v>58</v>
      </c>
      <c r="Q49" s="108">
        <f t="shared" si="30"/>
        <v>20.75</v>
      </c>
      <c r="R49" s="24" t="s">
        <v>52</v>
      </c>
      <c r="Y49" s="72"/>
      <c r="Z49" s="64" t="s">
        <v>126</v>
      </c>
      <c r="AA49" s="54"/>
      <c r="AB49" s="54"/>
      <c r="AC49" s="54"/>
      <c r="AD49" s="64" t="s">
        <v>127</v>
      </c>
      <c r="AE49" s="64" t="s">
        <v>129</v>
      </c>
      <c r="AF49" s="54" t="s">
        <v>132</v>
      </c>
      <c r="AG49" s="54" t="s">
        <v>133</v>
      </c>
      <c r="AH49" s="54" t="s">
        <v>134</v>
      </c>
      <c r="AI49" s="54"/>
      <c r="AJ49" s="54" t="s">
        <v>135</v>
      </c>
      <c r="AK49" s="59"/>
    </row>
    <row r="50" spans="1:37" ht="10.5">
      <c r="A50" s="111"/>
      <c r="B50" s="113"/>
      <c r="C50" s="91"/>
      <c r="D50" s="91"/>
      <c r="E50" s="91"/>
      <c r="F50" s="91"/>
      <c r="G50" s="91"/>
      <c r="H50" s="30" t="s">
        <v>175</v>
      </c>
      <c r="I50" s="7"/>
      <c r="J50" s="18"/>
      <c r="K50" s="119">
        <f>AD61</f>
        <v>0.10351900805082082</v>
      </c>
      <c r="L50" s="129"/>
      <c r="M50" s="120">
        <f>K50</f>
        <v>0.10351900805082082</v>
      </c>
      <c r="O50" s="91"/>
      <c r="P50" s="29" t="s">
        <v>61</v>
      </c>
      <c r="Q50" s="108">
        <f>F10</f>
        <v>0.95797508</v>
      </c>
      <c r="R50" s="24" t="s">
        <v>52</v>
      </c>
      <c r="Y50" s="43" t="s">
        <v>50</v>
      </c>
      <c r="Z50" s="9">
        <f aca="true" t="shared" si="31" ref="Z50:Z60">H6</f>
        <v>40.55</v>
      </c>
      <c r="AA50" s="9">
        <f aca="true" t="shared" si="32" ref="AA50:AD60">Z50*(100/Z$62)</f>
        <v>40.45949838296865</v>
      </c>
      <c r="AB50" s="9">
        <f t="shared" si="32"/>
        <v>40.45947168569091</v>
      </c>
      <c r="AC50" s="9">
        <f t="shared" si="32"/>
        <v>40.45947167622728</v>
      </c>
      <c r="AD50" s="9">
        <f t="shared" si="32"/>
        <v>40.45947167622392</v>
      </c>
      <c r="AE50" s="67">
        <v>1</v>
      </c>
      <c r="AF50" s="60">
        <f aca="true" t="shared" si="33" ref="AF50:AF61">(AD50/Q5)*AE50</f>
        <v>0.6733784312411715</v>
      </c>
      <c r="AG50" s="60">
        <f aca="true" t="shared" si="34" ref="AG50:AG61">AF50*(1/AC$45)</f>
        <v>0.38188972701329194</v>
      </c>
      <c r="AH50" s="14" t="s">
        <v>138</v>
      </c>
      <c r="AI50" s="60">
        <f>AG50+AG51+AG52+AI53+AG57+((AI58+AG61)/2)+AG61</f>
        <v>0.9966913947506508</v>
      </c>
      <c r="AJ50" s="75" t="s">
        <v>139</v>
      </c>
      <c r="AK50" s="76">
        <f>AG52*6.7</f>
        <v>1.5431056397258855</v>
      </c>
    </row>
    <row r="51" spans="1:37" s="6" customFormat="1" ht="10.5">
      <c r="A51" s="90" t="s">
        <v>168</v>
      </c>
      <c r="B51" s="90"/>
      <c r="C51" s="150"/>
      <c r="D51" s="90"/>
      <c r="E51" s="90"/>
      <c r="F51" s="90"/>
      <c r="G51" s="90"/>
      <c r="H51" s="90"/>
      <c r="I51" s="90"/>
      <c r="J51" s="90"/>
      <c r="K51" s="90"/>
      <c r="L51" s="90"/>
      <c r="M51" s="90"/>
      <c r="N51" s="90"/>
      <c r="O51" s="90"/>
      <c r="P51" s="29" t="s">
        <v>65</v>
      </c>
      <c r="Q51" s="108">
        <f>F11</f>
        <v>16.377999999999997</v>
      </c>
      <c r="R51" s="24" t="s">
        <v>52</v>
      </c>
      <c r="Y51" s="44" t="s">
        <v>54</v>
      </c>
      <c r="Z51" s="84">
        <f t="shared" si="31"/>
        <v>1.01</v>
      </c>
      <c r="AA51" s="84">
        <f t="shared" si="32"/>
        <v>1.0077458290209207</v>
      </c>
      <c r="AB51" s="84">
        <f t="shared" si="32"/>
        <v>1.0077451640578994</v>
      </c>
      <c r="AC51" s="84">
        <f t="shared" si="32"/>
        <v>1.007745163822184</v>
      </c>
      <c r="AD51" s="84">
        <f t="shared" si="32"/>
        <v>1.0077451638221002</v>
      </c>
      <c r="AE51" s="85">
        <v>1</v>
      </c>
      <c r="AF51" s="86">
        <f t="shared" si="33"/>
        <v>0.012612769701448586</v>
      </c>
      <c r="AG51" s="86">
        <f t="shared" si="34"/>
        <v>0.007153016720909222</v>
      </c>
      <c r="AH51" s="87"/>
      <c r="AI51" s="86"/>
      <c r="AJ51" s="88" t="s">
        <v>141</v>
      </c>
      <c r="AK51" s="89">
        <f>AI53*3.4</f>
        <v>0.8790691303003874</v>
      </c>
    </row>
    <row r="52" spans="16:37" ht="10.5">
      <c r="P52" s="29" t="s">
        <v>69</v>
      </c>
      <c r="Q52" s="108">
        <f t="shared" si="30"/>
        <v>0.18</v>
      </c>
      <c r="R52" s="24" t="s">
        <v>52</v>
      </c>
      <c r="Y52" s="44" t="s">
        <v>58</v>
      </c>
      <c r="Z52" s="9">
        <f t="shared" si="31"/>
        <v>20.75</v>
      </c>
      <c r="AA52" s="9">
        <f t="shared" si="32"/>
        <v>20.703689061568422</v>
      </c>
      <c r="AB52" s="9">
        <f t="shared" si="32"/>
        <v>20.70367540019942</v>
      </c>
      <c r="AC52" s="9">
        <f t="shared" si="32"/>
        <v>20.703675395356747</v>
      </c>
      <c r="AD52" s="9">
        <f t="shared" si="32"/>
        <v>20.703675395355027</v>
      </c>
      <c r="AE52" s="67">
        <v>2</v>
      </c>
      <c r="AF52" s="60">
        <f t="shared" si="33"/>
        <v>0.4061085018601181</v>
      </c>
      <c r="AG52" s="60">
        <f t="shared" si="34"/>
        <v>0.23031427458595305</v>
      </c>
      <c r="AH52" s="14"/>
      <c r="AI52" s="60"/>
      <c r="AJ52" s="75" t="s">
        <v>143</v>
      </c>
      <c r="AK52" s="76">
        <f>(AG51+AG57)*4.5</f>
        <v>0.5393783059838898</v>
      </c>
    </row>
    <row r="53" spans="16:37" ht="10.5">
      <c r="P53" s="29" t="s">
        <v>73</v>
      </c>
      <c r="Q53" s="108">
        <f t="shared" si="30"/>
        <v>8.64</v>
      </c>
      <c r="R53" s="24" t="s">
        <v>52</v>
      </c>
      <c r="Y53" s="44" t="s">
        <v>61</v>
      </c>
      <c r="Z53" s="9">
        <f t="shared" si="31"/>
        <v>0.96</v>
      </c>
      <c r="AA53" s="9">
        <f t="shared" si="32"/>
        <v>0.9578574216436474</v>
      </c>
      <c r="AB53" s="9">
        <f t="shared" si="32"/>
        <v>0.9578567895995875</v>
      </c>
      <c r="AC53" s="9">
        <f t="shared" si="32"/>
        <v>0.9578567893755411</v>
      </c>
      <c r="AD53" s="9">
        <f t="shared" si="32"/>
        <v>0.9578567893754616</v>
      </c>
      <c r="AE53" s="67">
        <v>2</v>
      </c>
      <c r="AF53" s="60">
        <f t="shared" si="33"/>
        <v>0.011996287725705594</v>
      </c>
      <c r="AG53" s="60">
        <f t="shared" si="34"/>
        <v>0.0068033943948849615</v>
      </c>
      <c r="AH53" s="14" t="s">
        <v>145</v>
      </c>
      <c r="AI53" s="60">
        <f>AG53+AG54+AG55+AG56</f>
        <v>0.2585497442059963</v>
      </c>
      <c r="AJ53" s="75" t="s">
        <v>146</v>
      </c>
      <c r="AK53" s="76">
        <f>AI58*1.4</f>
        <v>0.011409530779172986</v>
      </c>
    </row>
    <row r="54" spans="16:37" ht="10.5">
      <c r="P54" s="29" t="s">
        <v>77</v>
      </c>
      <c r="Q54" s="108">
        <f t="shared" si="30"/>
        <v>11.17</v>
      </c>
      <c r="R54" s="24" t="s">
        <v>52</v>
      </c>
      <c r="Y54" s="44" t="s">
        <v>65</v>
      </c>
      <c r="Z54" s="9">
        <f t="shared" si="31"/>
        <v>16.38</v>
      </c>
      <c r="AA54" s="9">
        <f t="shared" si="32"/>
        <v>16.343442256794734</v>
      </c>
      <c r="AB54" s="9">
        <f t="shared" si="32"/>
        <v>16.343431472542964</v>
      </c>
      <c r="AC54" s="9">
        <f t="shared" si="32"/>
        <v>16.343431468720173</v>
      </c>
      <c r="AD54" s="9">
        <f t="shared" si="32"/>
        <v>16.343431468718816</v>
      </c>
      <c r="AE54" s="67">
        <v>1</v>
      </c>
      <c r="AF54" s="60">
        <f t="shared" si="33"/>
        <v>0.22747738882837296</v>
      </c>
      <c r="AG54" s="60">
        <f t="shared" si="34"/>
        <v>0.12900810880034075</v>
      </c>
      <c r="AH54" s="14"/>
      <c r="AI54" s="60"/>
      <c r="AJ54" s="75" t="s">
        <v>166</v>
      </c>
      <c r="AK54" s="76">
        <f>AG61*2</f>
        <v>0.0026679610001047573</v>
      </c>
    </row>
    <row r="55" spans="16:37" ht="10.5">
      <c r="P55" s="29" t="s">
        <v>79</v>
      </c>
      <c r="Q55" s="108">
        <f t="shared" si="30"/>
        <v>0.42</v>
      </c>
      <c r="R55" s="24" t="s">
        <v>52</v>
      </c>
      <c r="Y55" s="44" t="s">
        <v>69</v>
      </c>
      <c r="Z55" s="9">
        <f t="shared" si="31"/>
        <v>0.18</v>
      </c>
      <c r="AA55" s="9">
        <f t="shared" si="32"/>
        <v>0.1795982665581839</v>
      </c>
      <c r="AB55" s="9">
        <f t="shared" si="32"/>
        <v>0.17959814804992266</v>
      </c>
      <c r="AC55" s="9">
        <f t="shared" si="32"/>
        <v>0.17959814800791396</v>
      </c>
      <c r="AD55" s="9">
        <f t="shared" si="32"/>
        <v>0.17959814800789906</v>
      </c>
      <c r="AE55" s="67">
        <v>1</v>
      </c>
      <c r="AF55" s="60">
        <f t="shared" si="33"/>
        <v>0.0025317836290574373</v>
      </c>
      <c r="AG55" s="60">
        <f t="shared" si="34"/>
        <v>0.0014358377312076146</v>
      </c>
      <c r="AH55" s="14"/>
      <c r="AI55" s="60"/>
      <c r="AJ55" s="75" t="s">
        <v>152</v>
      </c>
      <c r="AK55" s="76">
        <f>(AK50+AK51+AK52+AK53+AK54)*(AG50/AI50)</f>
        <v>1.1401350018776957</v>
      </c>
    </row>
    <row r="56" spans="16:37" ht="10.5">
      <c r="P56" s="29" t="s">
        <v>81</v>
      </c>
      <c r="Q56" s="108">
        <f t="shared" si="30"/>
        <v>0.04</v>
      </c>
      <c r="R56" s="24" t="s">
        <v>52</v>
      </c>
      <c r="Y56" s="44" t="s">
        <v>73</v>
      </c>
      <c r="Z56" s="9">
        <f t="shared" si="31"/>
        <v>8.64</v>
      </c>
      <c r="AA56" s="9">
        <f t="shared" si="32"/>
        <v>8.620716794792827</v>
      </c>
      <c r="AB56" s="9">
        <f t="shared" si="32"/>
        <v>8.620711106396287</v>
      </c>
      <c r="AC56" s="9">
        <f t="shared" si="32"/>
        <v>8.62071110437987</v>
      </c>
      <c r="AD56" s="9">
        <f t="shared" si="32"/>
        <v>8.620711104379154</v>
      </c>
      <c r="AE56" s="67">
        <v>1</v>
      </c>
      <c r="AF56" s="60">
        <f t="shared" si="33"/>
        <v>0.21389007414523362</v>
      </c>
      <c r="AG56" s="60">
        <f t="shared" si="34"/>
        <v>0.12130240327956296</v>
      </c>
      <c r="AH56" s="14"/>
      <c r="AI56" s="60"/>
      <c r="AJ56" s="75" t="s">
        <v>155</v>
      </c>
      <c r="AK56" s="76">
        <f>((AK55/(1-(AG50/AI50)))*((10000/(K49+273.15))-1.5))-6.4</f>
        <v>1.9569788140414826</v>
      </c>
    </row>
    <row r="57" spans="16:37" ht="10.5">
      <c r="P57" s="29" t="s">
        <v>84</v>
      </c>
      <c r="Q57" s="108">
        <f t="shared" si="30"/>
        <v>0.02</v>
      </c>
      <c r="R57" s="24" t="s">
        <v>52</v>
      </c>
      <c r="Y57" s="44" t="s">
        <v>77</v>
      </c>
      <c r="Z57" s="9">
        <f t="shared" si="31"/>
        <v>11.17</v>
      </c>
      <c r="AA57" s="9">
        <f t="shared" si="32"/>
        <v>11.145070208082856</v>
      </c>
      <c r="AB57" s="9">
        <f t="shared" si="32"/>
        <v>11.145062853986868</v>
      </c>
      <c r="AC57" s="9">
        <f t="shared" si="32"/>
        <v>11.145062851379995</v>
      </c>
      <c r="AD57" s="9">
        <f t="shared" si="32"/>
        <v>11.14506285137907</v>
      </c>
      <c r="AE57" s="67">
        <v>1</v>
      </c>
      <c r="AF57" s="60">
        <f t="shared" si="33"/>
        <v>0.19873719853242136</v>
      </c>
      <c r="AG57" s="60">
        <f t="shared" si="34"/>
        <v>0.11270882905328852</v>
      </c>
      <c r="AH57" s="14"/>
      <c r="AI57" s="60"/>
      <c r="AJ57" s="75"/>
      <c r="AK57" s="76"/>
    </row>
    <row r="58" spans="16:37" ht="10.5">
      <c r="P58" s="29" t="s">
        <v>86</v>
      </c>
      <c r="Q58" s="108">
        <f t="shared" si="30"/>
        <v>0</v>
      </c>
      <c r="R58" s="24" t="s">
        <v>52</v>
      </c>
      <c r="Y58" s="44" t="s">
        <v>79</v>
      </c>
      <c r="Z58" s="9">
        <f t="shared" si="31"/>
        <v>0.42</v>
      </c>
      <c r="AA58" s="9">
        <f t="shared" si="32"/>
        <v>0.4190626219690957</v>
      </c>
      <c r="AB58" s="9">
        <f t="shared" si="32"/>
        <v>0.4190623454498195</v>
      </c>
      <c r="AC58" s="9">
        <f t="shared" si="32"/>
        <v>0.4190623453517992</v>
      </c>
      <c r="AD58" s="9">
        <f t="shared" si="32"/>
        <v>0.4190623453517644</v>
      </c>
      <c r="AE58" s="67">
        <v>2</v>
      </c>
      <c r="AF58" s="60">
        <f t="shared" si="33"/>
        <v>0.013522742267183328</v>
      </c>
      <c r="AG58" s="60">
        <f t="shared" si="34"/>
        <v>0.007669084890894258</v>
      </c>
      <c r="AH58" s="14" t="s">
        <v>160</v>
      </c>
      <c r="AI58" s="60">
        <f>AG58+AG59</f>
        <v>0.008149664842266419</v>
      </c>
      <c r="AJ58" s="75"/>
      <c r="AK58" s="76"/>
    </row>
    <row r="59" spans="16:37" ht="10.5">
      <c r="P59" s="29" t="s">
        <v>88</v>
      </c>
      <c r="Q59" s="108">
        <f t="shared" si="30"/>
        <v>0</v>
      </c>
      <c r="R59" s="24" t="s">
        <v>52</v>
      </c>
      <c r="Y59" s="44" t="s">
        <v>81</v>
      </c>
      <c r="Z59" s="9">
        <f t="shared" si="31"/>
        <v>0.04</v>
      </c>
      <c r="AA59" s="9">
        <f t="shared" si="32"/>
        <v>0.03991072590181864</v>
      </c>
      <c r="AB59" s="9">
        <f t="shared" si="32"/>
        <v>0.03991069956664948</v>
      </c>
      <c r="AC59" s="9">
        <f t="shared" si="32"/>
        <v>0.03991069955731421</v>
      </c>
      <c r="AD59" s="9">
        <f t="shared" si="32"/>
        <v>0.03991069955731089</v>
      </c>
      <c r="AE59" s="67">
        <v>2</v>
      </c>
      <c r="AF59" s="60">
        <f t="shared" si="33"/>
        <v>0.0008473969076672235</v>
      </c>
      <c r="AG59" s="60">
        <f t="shared" si="34"/>
        <v>0.00048057995137216027</v>
      </c>
      <c r="AH59" s="14"/>
      <c r="AI59" s="60"/>
      <c r="AJ59" s="75"/>
      <c r="AK59" s="76"/>
    </row>
    <row r="60" spans="16:37" ht="10.5">
      <c r="P60" s="29" t="s">
        <v>89</v>
      </c>
      <c r="Q60" s="108">
        <f t="shared" si="30"/>
        <v>0</v>
      </c>
      <c r="R60" s="24" t="s">
        <v>52</v>
      </c>
      <c r="Y60" s="29" t="s">
        <v>84</v>
      </c>
      <c r="Z60" s="9">
        <f t="shared" si="31"/>
        <v>0.02</v>
      </c>
      <c r="AA60" s="9">
        <f t="shared" si="32"/>
        <v>0.01995536295090932</v>
      </c>
      <c r="AB60" s="9">
        <f t="shared" si="32"/>
        <v>0.01995534978332474</v>
      </c>
      <c r="AC60" s="9">
        <f t="shared" si="32"/>
        <v>0.019955349778657105</v>
      </c>
      <c r="AD60" s="9">
        <f t="shared" si="32"/>
        <v>0.019955349778655446</v>
      </c>
      <c r="AE60" s="8">
        <v>2</v>
      </c>
      <c r="AF60" s="60">
        <f t="shared" si="33"/>
        <v>0.00028117115884948617</v>
      </c>
      <c r="AG60" s="60">
        <f t="shared" si="34"/>
        <v>0.0001594591868633586</v>
      </c>
      <c r="AH60" s="8"/>
      <c r="AI60" s="60"/>
      <c r="AJ60" s="60"/>
      <c r="AK60" s="76"/>
    </row>
    <row r="61" spans="16:37" ht="10.5">
      <c r="P61" s="29" t="s">
        <v>91</v>
      </c>
      <c r="Q61" s="108">
        <f t="shared" si="30"/>
        <v>0</v>
      </c>
      <c r="R61" s="24" t="s">
        <v>52</v>
      </c>
      <c r="Y61" s="45" t="s">
        <v>167</v>
      </c>
      <c r="Z61" s="20">
        <f>-17.437+1.5627*Z50-0.050115*Z50^2+0.000671731*Z50^3-0.000003037*Z50^4</f>
        <v>0.1036844762006428</v>
      </c>
      <c r="AA61" s="20">
        <f>-17.437+1.5627*AA50-0.050115*AA50^2+0.000671731*AA50^3-0.000003037*AA50^4</f>
        <v>0.1035190529836072</v>
      </c>
      <c r="AB61" s="20">
        <f>-17.437+1.5627*AB50-0.050115*AB50^2+0.000671731*AB50^3-0.000003037*AB50^4</f>
        <v>0.10351900806674585</v>
      </c>
      <c r="AC61" s="20">
        <f>-17.437+1.5627*AC50-0.050115*AC50^2+0.000671731*AC50^3-0.000003037*AC50^4</f>
        <v>0.10351900805083147</v>
      </c>
      <c r="AD61" s="20">
        <f>-17.437+1.5627*AD50-0.050115*AD50^2+0.000671731*AD50^3-0.000003037*AD50^4</f>
        <v>0.10351900805082082</v>
      </c>
      <c r="AE61" s="7">
        <v>1</v>
      </c>
      <c r="AF61" s="63">
        <f t="shared" si="33"/>
        <v>0.0023521808336057154</v>
      </c>
      <c r="AG61" s="63">
        <f t="shared" si="34"/>
        <v>0.0013339805000523786</v>
      </c>
      <c r="AH61" s="18"/>
      <c r="AI61" s="63"/>
      <c r="AJ61" s="77"/>
      <c r="AK61" s="78"/>
    </row>
    <row r="62" spans="16:37" ht="10.5">
      <c r="P62" s="29" t="s">
        <v>93</v>
      </c>
      <c r="Q62" s="108">
        <f t="shared" si="30"/>
        <v>0</v>
      </c>
      <c r="R62" s="24" t="s">
        <v>52</v>
      </c>
      <c r="Y62" s="30" t="s">
        <v>109</v>
      </c>
      <c r="Z62" s="20">
        <f>SUM(Z50:Z61)</f>
        <v>100.22368447620065</v>
      </c>
      <c r="AA62" s="20">
        <f>SUM(AA50:AA61)</f>
        <v>100.00006598523566</v>
      </c>
      <c r="AB62" s="20">
        <f>SUM(AB50:AB61)</f>
        <v>100.00000002339038</v>
      </c>
      <c r="AC62" s="20">
        <f>SUM(AC50:AC61)</f>
        <v>100.0000000000083</v>
      </c>
      <c r="AD62" s="20">
        <f>SUM(AD50:AD61)</f>
        <v>100</v>
      </c>
      <c r="AE62" s="7"/>
      <c r="AF62" s="63">
        <f>SUM(AF50:AF61)</f>
        <v>1.763735926830835</v>
      </c>
      <c r="AG62" s="63">
        <f>SUM(AG50:AG61)</f>
        <v>1.000258696108621</v>
      </c>
      <c r="AH62" s="18"/>
      <c r="AI62" s="7"/>
      <c r="AJ62" s="18" t="s">
        <v>164</v>
      </c>
      <c r="AK62" s="79">
        <f>(AK56/2.303)</f>
        <v>0.8497519817809304</v>
      </c>
    </row>
    <row r="63" spans="16:26" ht="10.5">
      <c r="P63" s="29" t="s">
        <v>95</v>
      </c>
      <c r="Q63" s="110">
        <f>B22/8456</f>
        <v>0</v>
      </c>
      <c r="R63" s="24" t="s">
        <v>52</v>
      </c>
      <c r="Y63" s="13"/>
      <c r="Z63" s="1"/>
    </row>
    <row r="64" spans="16:18" ht="10.5">
      <c r="P64" s="29" t="s">
        <v>98</v>
      </c>
      <c r="Q64" s="110">
        <f>B23/8957</f>
        <v>0</v>
      </c>
      <c r="R64" s="24" t="s">
        <v>52</v>
      </c>
    </row>
    <row r="65" spans="16:18" ht="10.5">
      <c r="P65" s="29" t="s">
        <v>100</v>
      </c>
      <c r="Q65" s="110">
        <f>B24/7858</f>
        <v>0</v>
      </c>
      <c r="R65" s="24" t="s">
        <v>52</v>
      </c>
    </row>
    <row r="66" spans="16:18" ht="10.5">
      <c r="P66" s="29" t="s">
        <v>103</v>
      </c>
      <c r="Q66" s="110">
        <f>B25/6842</f>
        <v>0</v>
      </c>
      <c r="R66" s="24" t="s">
        <v>52</v>
      </c>
    </row>
    <row r="67" spans="16:18" ht="10.5">
      <c r="P67" s="30" t="s">
        <v>105</v>
      </c>
      <c r="Q67" s="110">
        <f>B26/7403</f>
        <v>0</v>
      </c>
      <c r="R67" s="38" t="s">
        <v>52</v>
      </c>
    </row>
    <row r="68" spans="16:18" ht="10.5">
      <c r="P68" s="30" t="s">
        <v>109</v>
      </c>
      <c r="Q68" s="47">
        <f>SUM(Q47:Q67)</f>
        <v>100.11597508</v>
      </c>
      <c r="R68" s="38"/>
    </row>
    <row r="69" ht="10.5"/>
    <row r="70" ht="10.5"/>
    <row r="71" ht="10.5"/>
  </sheetData>
  <sheetProtection sheet="1" objects="1" scenarios="1"/>
  <protectedRanges>
    <protectedRange sqref="B6:B26 F6:F7" name="区域1"/>
  </protectedRanges>
  <printOptions/>
  <pageMargins left="0.75" right="0.75" top="1" bottom="1" header="0.5" footer="0.5"/>
  <pageSetup orientation="portrait" r:id="rId4"/>
  <headerFooter alignWithMargins="0">
    <oddHeader>&amp;C&amp;F</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 SYSTEM</cp:lastModifiedBy>
  <dcterms:created xsi:type="dcterms:W3CDTF">2005-08-12T13:46:07Z</dcterms:created>
  <dcterms:modified xsi:type="dcterms:W3CDTF">2007-09-11T18:31:08Z</dcterms:modified>
  <cp:category/>
  <cp:version/>
  <cp:contentType/>
  <cp:contentStatus/>
</cp:coreProperties>
</file>